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05" yWindow="-135" windowWidth="14940" windowHeight="11115" tabRatio="915" firstSheet="1" activeTab="3"/>
  </bookViews>
  <sheets>
    <sheet name="lisa 1(koond)" sheetId="1" r:id="rId1"/>
    <sheet name="lisa 2 (Tulubaas)" sheetId="2" r:id="rId2"/>
    <sheet name="lisa3 (põhitegevus)" sheetId="14" r:id="rId3"/>
    <sheet name="Lisa 4 (invest)" sheetId="12" r:id="rId4"/>
    <sheet name="Lisa 5 Fin.teg KULUD" sheetId="17" r:id="rId5"/>
  </sheets>
  <definedNames>
    <definedName name="_xlnm._FilterDatabase" localSheetId="3" hidden="1">'Lisa 4 (invest)'!$B$10:$G$80</definedName>
    <definedName name="_xlnm.Print_Titles" localSheetId="3">'Lisa 4 (invest)'!$3:$4</definedName>
  </definedNames>
  <calcPr calcId="125725"/>
</workbook>
</file>

<file path=xl/calcChain.xml><?xml version="1.0" encoding="utf-8"?>
<calcChain xmlns="http://schemas.openxmlformats.org/spreadsheetml/2006/main">
  <c r="E20" i="17"/>
  <c r="E19"/>
  <c r="C19"/>
  <c r="E18"/>
  <c r="E17"/>
  <c r="D17"/>
  <c r="F17" s="1"/>
  <c r="C17"/>
  <c r="C20" s="1"/>
  <c r="D16"/>
  <c r="F16" s="1"/>
  <c r="F20" s="1"/>
  <c r="D14"/>
  <c r="F14" s="1"/>
  <c r="D13"/>
  <c r="F13" s="1"/>
  <c r="D12"/>
  <c r="F12" s="1"/>
  <c r="D11"/>
  <c r="F11" s="1"/>
  <c r="D10"/>
  <c r="F10" s="1"/>
  <c r="D9"/>
  <c r="F9" s="1"/>
  <c r="F8"/>
  <c r="F7"/>
  <c r="F19" s="1"/>
  <c r="F6"/>
  <c r="D20" l="1"/>
  <c r="D18"/>
  <c r="D19"/>
  <c r="F18"/>
  <c r="D171" i="12" l="1"/>
  <c r="E157"/>
  <c r="D157"/>
  <c r="D145"/>
  <c r="D180"/>
  <c r="E115"/>
  <c r="D112"/>
  <c r="D109"/>
  <c r="D41"/>
  <c r="D66"/>
  <c r="C13" i="14" l="1"/>
  <c r="C6"/>
  <c r="E4"/>
  <c r="E5"/>
  <c r="C22" i="2" l="1"/>
  <c r="C4"/>
  <c r="E7" i="14" l="1"/>
  <c r="D127" i="12"/>
  <c r="D53" i="14" l="1"/>
  <c r="D44"/>
  <c r="E11"/>
  <c r="F131" i="12"/>
  <c r="D119"/>
  <c r="D115" s="1"/>
  <c r="F139" l="1"/>
  <c r="C21" i="2"/>
  <c r="C10" s="1"/>
  <c r="C33"/>
  <c r="F181" i="12"/>
  <c r="F182"/>
  <c r="F183"/>
  <c r="E145"/>
  <c r="F147"/>
  <c r="F146"/>
  <c r="C34" i="1" l="1"/>
  <c r="C40" i="2"/>
  <c r="E71" i="14"/>
  <c r="E21"/>
  <c r="F189" i="12"/>
  <c r="F179"/>
  <c r="F177"/>
  <c r="F178"/>
  <c r="F173"/>
  <c r="F172"/>
  <c r="E171"/>
  <c r="F168"/>
  <c r="F167"/>
  <c r="F166"/>
  <c r="F165"/>
  <c r="F163"/>
  <c r="F161"/>
  <c r="F160"/>
  <c r="F159"/>
  <c r="F156"/>
  <c r="F155"/>
  <c r="F154"/>
  <c r="F153"/>
  <c r="E148"/>
  <c r="E144" s="1"/>
  <c r="D148"/>
  <c r="D144" s="1"/>
  <c r="F150"/>
  <c r="F151"/>
  <c r="F152"/>
  <c r="F61"/>
  <c r="F56"/>
  <c r="E54"/>
  <c r="D54"/>
  <c r="F59"/>
  <c r="F34"/>
  <c r="F43"/>
  <c r="F44"/>
  <c r="F45"/>
  <c r="F46"/>
  <c r="F47"/>
  <c r="F35"/>
  <c r="F30"/>
  <c r="F32"/>
  <c r="F25"/>
  <c r="F26"/>
  <c r="F23"/>
  <c r="E22"/>
  <c r="D22"/>
  <c r="F33"/>
  <c r="F36"/>
  <c r="F37"/>
  <c r="F28"/>
  <c r="F29"/>
  <c r="F31"/>
  <c r="F125"/>
  <c r="F124"/>
  <c r="E123"/>
  <c r="D123"/>
  <c r="E120"/>
  <c r="D120"/>
  <c r="F121"/>
  <c r="F142"/>
  <c r="F141"/>
  <c r="E140"/>
  <c r="D140"/>
  <c r="F132"/>
  <c r="F130"/>
  <c r="E129"/>
  <c r="D129"/>
  <c r="F127"/>
  <c r="E126"/>
  <c r="D126"/>
  <c r="F117"/>
  <c r="F119"/>
  <c r="F106"/>
  <c r="F105"/>
  <c r="F104"/>
  <c r="F103"/>
  <c r="F108"/>
  <c r="F109"/>
  <c r="F107"/>
  <c r="F110"/>
  <c r="F111"/>
  <c r="F73"/>
  <c r="F72"/>
  <c r="F68"/>
  <c r="F69"/>
  <c r="F70"/>
  <c r="F71"/>
  <c r="F98"/>
  <c r="C27" i="1" s="1"/>
  <c r="F94" i="12"/>
  <c r="F95"/>
  <c r="F96"/>
  <c r="F97"/>
  <c r="F89"/>
  <c r="F90"/>
  <c r="F91"/>
  <c r="D88"/>
  <c r="D86" s="1"/>
  <c r="E86"/>
  <c r="D188"/>
  <c r="C11" i="14"/>
  <c r="E17"/>
  <c r="C7"/>
  <c r="C8"/>
  <c r="C9"/>
  <c r="C10"/>
  <c r="C14"/>
  <c r="F169" i="12" l="1"/>
  <c r="F174"/>
  <c r="F170"/>
  <c r="F20"/>
  <c r="F129"/>
  <c r="F123"/>
  <c r="F140"/>
  <c r="F75"/>
  <c r="F99"/>
  <c r="F86"/>
  <c r="F185"/>
  <c r="D16"/>
  <c r="F16" s="1"/>
  <c r="D11" l="1"/>
  <c r="D10" s="1"/>
  <c r="E41" l="1"/>
  <c r="E21" s="1"/>
  <c r="D21"/>
  <c r="F48"/>
  <c r="F49"/>
  <c r="F42" l="1"/>
  <c r="F50"/>
  <c r="E101" l="1"/>
  <c r="F113"/>
  <c r="F112" l="1"/>
  <c r="D101"/>
  <c r="E73" i="14"/>
  <c r="D73"/>
  <c r="C74"/>
  <c r="C75"/>
  <c r="C76"/>
  <c r="C77"/>
  <c r="C78"/>
  <c r="C79"/>
  <c r="C80"/>
  <c r="C81"/>
  <c r="C82"/>
  <c r="C83"/>
  <c r="E57"/>
  <c r="D57"/>
  <c r="C58"/>
  <c r="C59"/>
  <c r="C60"/>
  <c r="C61"/>
  <c r="C62"/>
  <c r="C63"/>
  <c r="C64"/>
  <c r="C65"/>
  <c r="C66"/>
  <c r="C67"/>
  <c r="C68"/>
  <c r="C69"/>
  <c r="C70"/>
  <c r="C71"/>
  <c r="C72"/>
  <c r="E38"/>
  <c r="D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E33"/>
  <c r="D33"/>
  <c r="C34"/>
  <c r="C35"/>
  <c r="C36"/>
  <c r="C37"/>
  <c r="E28"/>
  <c r="D28"/>
  <c r="C29"/>
  <c r="C30"/>
  <c r="C31"/>
  <c r="C32"/>
  <c r="E23"/>
  <c r="D23"/>
  <c r="C24"/>
  <c r="C25"/>
  <c r="C26"/>
  <c r="C27"/>
  <c r="E15"/>
  <c r="D15"/>
  <c r="C16"/>
  <c r="C17"/>
  <c r="C18"/>
  <c r="C19"/>
  <c r="C20"/>
  <c r="C21"/>
  <c r="C22"/>
  <c r="E12"/>
  <c r="D12"/>
  <c r="D5"/>
  <c r="C73" l="1"/>
  <c r="C17" i="1" s="1"/>
  <c r="D4" i="14"/>
  <c r="C57"/>
  <c r="C16" i="1" s="1"/>
  <c r="C38" i="14"/>
  <c r="C15" i="1" s="1"/>
  <c r="C5" i="14"/>
  <c r="C9" i="1" s="1"/>
  <c r="C33" i="14"/>
  <c r="C14" i="1" s="1"/>
  <c r="C15" i="14"/>
  <c r="C11" i="1" s="1"/>
  <c r="C28" i="14"/>
  <c r="C13" i="1" s="1"/>
  <c r="C23" i="14"/>
  <c r="C12" i="1" s="1"/>
  <c r="C12" i="14"/>
  <c r="C10" i="1" s="1"/>
  <c r="C4" i="14" l="1"/>
  <c r="D184" i="12"/>
  <c r="F180"/>
  <c r="F136"/>
  <c r="F135"/>
  <c r="F118"/>
  <c r="F116"/>
  <c r="F115" l="1"/>
  <c r="F102"/>
  <c r="F38"/>
  <c r="F17"/>
  <c r="F114" l="1"/>
  <c r="F62" l="1"/>
  <c r="F162" l="1"/>
  <c r="F187"/>
  <c r="F149"/>
  <c r="F122"/>
  <c r="F137"/>
  <c r="F74"/>
  <c r="F67"/>
  <c r="E66"/>
  <c r="F27"/>
  <c r="E11"/>
  <c r="E10" s="1"/>
  <c r="F18"/>
  <c r="F65" l="1"/>
  <c r="F66"/>
  <c r="F87" l="1"/>
  <c r="F14" l="1"/>
  <c r="C25" i="2" l="1"/>
  <c r="E188" i="12"/>
  <c r="F190"/>
  <c r="E175"/>
  <c r="E143" s="1"/>
  <c r="D175"/>
  <c r="D143" s="1"/>
  <c r="F176"/>
  <c r="F164"/>
  <c r="F148"/>
  <c r="F158"/>
  <c r="E133"/>
  <c r="E100" s="1"/>
  <c r="D133"/>
  <c r="D100" s="1"/>
  <c r="F134"/>
  <c r="F138"/>
  <c r="F128"/>
  <c r="D92"/>
  <c r="F88"/>
  <c r="E77"/>
  <c r="D77"/>
  <c r="E63"/>
  <c r="D63"/>
  <c r="F58"/>
  <c r="F60"/>
  <c r="E57"/>
  <c r="D57"/>
  <c r="F55"/>
  <c r="F51"/>
  <c r="F39"/>
  <c r="F40"/>
  <c r="F41"/>
  <c r="E6"/>
  <c r="E7"/>
  <c r="D7"/>
  <c r="E8"/>
  <c r="D8"/>
  <c r="F24"/>
  <c r="F52"/>
  <c r="F78"/>
  <c r="F79"/>
  <c r="F93"/>
  <c r="F145"/>
  <c r="F12"/>
  <c r="F13"/>
  <c r="F15"/>
  <c r="C35" i="1"/>
  <c r="C38" i="2"/>
  <c r="E19" i="12" l="1"/>
  <c r="D19"/>
  <c r="F92"/>
  <c r="E184"/>
  <c r="E76"/>
  <c r="F157"/>
  <c r="D6"/>
  <c r="F120"/>
  <c r="F126"/>
  <c r="F144"/>
  <c r="C33" i="1"/>
  <c r="F133" i="12"/>
  <c r="F175"/>
  <c r="F171"/>
  <c r="F188"/>
  <c r="F186"/>
  <c r="D76"/>
  <c r="F22"/>
  <c r="F77"/>
  <c r="F57"/>
  <c r="F54"/>
  <c r="F53"/>
  <c r="F64"/>
  <c r="F10"/>
  <c r="E5"/>
  <c r="F7"/>
  <c r="F8"/>
  <c r="F11"/>
  <c r="F6" l="1"/>
  <c r="F143"/>
  <c r="C29" i="1" s="1"/>
  <c r="F76" i="12"/>
  <c r="C26" i="1" s="1"/>
  <c r="F184" i="12"/>
  <c r="F63"/>
  <c r="C25" i="1" s="1"/>
  <c r="F19" i="12"/>
  <c r="C24" i="1" s="1"/>
  <c r="F21" i="12"/>
  <c r="C23" i="1"/>
  <c r="C35" i="2"/>
  <c r="C31"/>
  <c r="C20" i="1"/>
  <c r="C7"/>
  <c r="C32"/>
  <c r="C6"/>
  <c r="C5"/>
  <c r="C4"/>
  <c r="C30" l="1"/>
  <c r="C19"/>
  <c r="C30" i="2"/>
  <c r="C21" i="1"/>
  <c r="C3"/>
  <c r="C3" i="2"/>
  <c r="C8" i="1"/>
  <c r="C42" i="2" l="1"/>
  <c r="C18" i="1"/>
  <c r="C36" s="1"/>
  <c r="D5" i="12"/>
  <c r="F5" l="1"/>
  <c r="F100" l="1"/>
  <c r="C28" i="1" s="1"/>
  <c r="C22" s="1"/>
  <c r="C31" s="1"/>
  <c r="F101" i="12"/>
</calcChain>
</file>

<file path=xl/sharedStrings.xml><?xml version="1.0" encoding="utf-8"?>
<sst xmlns="http://schemas.openxmlformats.org/spreadsheetml/2006/main" count="562" uniqueCount="421">
  <si>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</si>
  <si>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</si>
  <si>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</si>
  <si>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</si>
  <si>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</si>
  <si>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</si>
  <si>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</si>
  <si>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</si>
  <si>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</si>
  <si>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 xml:space="preserve">LINNA TULUBAAS  </t>
  </si>
  <si>
    <t>Vaba aeg ja kultuur</t>
  </si>
  <si>
    <t>Finantseerimisallikad</t>
  </si>
  <si>
    <t>linn</t>
  </si>
  <si>
    <t xml:space="preserve">   Spordibaasid</t>
  </si>
  <si>
    <t>Tänavate rekonstrueerimine, ehitus</t>
  </si>
  <si>
    <t xml:space="preserve">   Elamumajanduse arendamine</t>
  </si>
  <si>
    <t xml:space="preserve">Linnale kuuluvate korterite remont </t>
  </si>
  <si>
    <t>KOKKU</t>
  </si>
  <si>
    <t>PÕHITEGEVUSE TULUD</t>
  </si>
  <si>
    <t>Muud tegevustulud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</si>
  <si>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</si>
  <si>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</si>
  <si>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</si>
  <si>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</si>
  <si>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</si>
  <si>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</si>
  <si>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eurodes</t>
  </si>
  <si>
    <t>toetused</t>
  </si>
  <si>
    <t xml:space="preserve">   Tänavavalgustus</t>
  </si>
  <si>
    <t>Ettekirjutiste täitmine</t>
  </si>
  <si>
    <t>Põhivara soetus</t>
  </si>
  <si>
    <t>Põhivara soetuseks antav sihtfinantseerimine</t>
  </si>
  <si>
    <t>FINANTSEERIMISTEGEVUS</t>
  </si>
  <si>
    <t>Materiaalsete varade müük</t>
  </si>
  <si>
    <t>Finantskulud</t>
  </si>
  <si>
    <t>Koostöö võrguarendajatega</t>
  </si>
  <si>
    <t xml:space="preserve">  Muu majandus</t>
  </si>
  <si>
    <t xml:space="preserve">  Linna teed, tänavad ja sillad</t>
  </si>
  <si>
    <t>Õhutransport</t>
  </si>
  <si>
    <t>Muu eakate sotsiaalne kaitse</t>
  </si>
  <si>
    <t>Reklaamimaks</t>
  </si>
  <si>
    <t>Teede ja tänavate sulgemise maks</t>
  </si>
  <si>
    <t>Parkimistasu</t>
  </si>
  <si>
    <t>Füüsilise isiku tulumaks</t>
  </si>
  <si>
    <t>Maamaks</t>
  </si>
  <si>
    <t>Riigilõivud</t>
  </si>
  <si>
    <t>Üür ja rent</t>
  </si>
  <si>
    <t>Õiguste müük</t>
  </si>
  <si>
    <t>Muu toodete ja teenuste müük</t>
  </si>
  <si>
    <t>Avalik kord</t>
  </si>
  <si>
    <t>Tervishoid</t>
  </si>
  <si>
    <t>Trahvid</t>
  </si>
  <si>
    <t>Laekumised vee erikasutusest</t>
  </si>
  <si>
    <t>Intressi- ja viivisetulud</t>
  </si>
  <si>
    <t>Maa müük</t>
  </si>
  <si>
    <t>Põhivara soetuseks saadav sihtfinantseerimine</t>
  </si>
  <si>
    <t>Riigi Kinnisvara AS leping</t>
  </si>
  <si>
    <t>Liisingud</t>
  </si>
  <si>
    <t>Investeerimistegevuse kulud objektide ja finantseerimisallikate lõikes</t>
  </si>
  <si>
    <t>Tulud haridusalasest tegevusest</t>
  </si>
  <si>
    <t>Tulud kultuuri- ja kunstialasest tegevusest</t>
  </si>
  <si>
    <t>Tulud spordi- ja puhkealasest tegevusest</t>
  </si>
  <si>
    <t>Tulud sotsiaalabialasest tegevusest</t>
  </si>
  <si>
    <t>Tulud keskkonnaalasest tegevusest</t>
  </si>
  <si>
    <t>Üldvalitsemise tulud</t>
  </si>
  <si>
    <t>Tulud transporditegevusest</t>
  </si>
  <si>
    <t>Kohustuste võtmine (+)</t>
  </si>
  <si>
    <t>Kohustuste tasumine (-)</t>
  </si>
  <si>
    <t>Põhivara müük</t>
  </si>
  <si>
    <t>Finantstulud</t>
  </si>
  <si>
    <t>Raha ja pangakontode saldo muutus</t>
  </si>
  <si>
    <t>PVS</t>
  </si>
  <si>
    <t>FK</t>
  </si>
  <si>
    <t>ASF</t>
  </si>
  <si>
    <t>Linna laenude teenindamine</t>
  </si>
  <si>
    <t>Kruusakattega tänavate asfalteerimine</t>
  </si>
  <si>
    <t>Ülekatted ja pindamised</t>
  </si>
  <si>
    <t>Sadevee liitumistasu</t>
  </si>
  <si>
    <r>
      <t xml:space="preserve">   </t>
    </r>
    <r>
      <rPr>
        <b/>
        <i/>
        <sz val="11"/>
        <rFont val="Times New Roman"/>
        <family val="1"/>
        <charset val="186"/>
      </rPr>
      <t>Üldmajanduslikud arendusprojektid</t>
    </r>
  </si>
  <si>
    <t>Ettekirjutuste täitmiseks linna hoonetes</t>
  </si>
  <si>
    <t>Korteriühistute remondifond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</si>
  <si>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</si>
  <si>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 xml:space="preserve">  Muu elamu- ja kommunaaltegevus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</si>
  <si>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</si>
  <si>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t>Restaureerimise toetused</t>
  </si>
  <si>
    <t>01</t>
  </si>
  <si>
    <t>01111</t>
  </si>
  <si>
    <t>01112</t>
  </si>
  <si>
    <t>01114</t>
  </si>
  <si>
    <t>01310</t>
  </si>
  <si>
    <t>01330</t>
  </si>
  <si>
    <t>01600</t>
  </si>
  <si>
    <t>03</t>
  </si>
  <si>
    <t>03100</t>
  </si>
  <si>
    <t>03600</t>
  </si>
  <si>
    <t>04</t>
  </si>
  <si>
    <t>04210</t>
  </si>
  <si>
    <t>04510</t>
  </si>
  <si>
    <t>04512</t>
  </si>
  <si>
    <t>04540</t>
  </si>
  <si>
    <t>04730</t>
  </si>
  <si>
    <t>04740</t>
  </si>
  <si>
    <t>04900</t>
  </si>
  <si>
    <t>05</t>
  </si>
  <si>
    <t>05100</t>
  </si>
  <si>
    <t>05200</t>
  </si>
  <si>
    <t>05400</t>
  </si>
  <si>
    <t>05600</t>
  </si>
  <si>
    <t>06</t>
  </si>
  <si>
    <t>06100</t>
  </si>
  <si>
    <t>06300</t>
  </si>
  <si>
    <t>06400</t>
  </si>
  <si>
    <t>06605</t>
  </si>
  <si>
    <t>07</t>
  </si>
  <si>
    <t>07120</t>
  </si>
  <si>
    <t>07210</t>
  </si>
  <si>
    <t>07340</t>
  </si>
  <si>
    <t>07400</t>
  </si>
  <si>
    <t>08</t>
  </si>
  <si>
    <t>Muud eespool nimetamata tulud</t>
  </si>
  <si>
    <t>Riigi Kinnisvara ASile (H. Masingu Kooli ja J. Poska Gümnaasiumi) intressid</t>
  </si>
  <si>
    <t xml:space="preserve">   Muinsuskaitse</t>
  </si>
  <si>
    <t>Haridusasutuste rekonstrueerimistööde projekteerimised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</si>
  <si>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</si>
  <si>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</si>
  <si>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</si>
  <si>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</si>
  <si>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</si>
  <si>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</si>
  <si>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</si>
  <si>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</si>
  <si>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</si>
  <si>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</si>
  <si>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08207</t>
  </si>
  <si>
    <t>08208</t>
  </si>
  <si>
    <t>08209</t>
  </si>
  <si>
    <t>08211</t>
  </si>
  <si>
    <t>08300</t>
  </si>
  <si>
    <t>08600</t>
  </si>
  <si>
    <t>09</t>
  </si>
  <si>
    <t>09110</t>
  </si>
  <si>
    <t>09220</t>
  </si>
  <si>
    <t>09212</t>
  </si>
  <si>
    <t>09221</t>
  </si>
  <si>
    <t>09222</t>
  </si>
  <si>
    <t>09400</t>
  </si>
  <si>
    <t>09500</t>
  </si>
  <si>
    <t>09601</t>
  </si>
  <si>
    <t>09800</t>
  </si>
  <si>
    <t xml:space="preserve">Toetus SA-le Tartu Teaduspark infrastruktuuri arendamiseks </t>
  </si>
  <si>
    <t>Raamatukogu väikebussi liisingu intressid</t>
  </si>
  <si>
    <t>Maarja kooli bussi liisingu intressid</t>
  </si>
  <si>
    <t xml:space="preserve">Toetus EELK Tartu Peetri Kogudusele </t>
  </si>
  <si>
    <t>Annelinna kunstmuruväljak</t>
  </si>
  <si>
    <t>Pillide ost</t>
  </si>
  <si>
    <t>Kesklinna Lastekeskus (Akadeemia 2)</t>
  </si>
  <si>
    <t>Forseliuse Kool (Tähe 103)</t>
  </si>
  <si>
    <t>09600</t>
  </si>
  <si>
    <t>09602</t>
  </si>
  <si>
    <t>09609</t>
  </si>
  <si>
    <t xml:space="preserve">Toetus SAle Tartu Pauluse Kirik </t>
  </si>
  <si>
    <t>Tänavavalgustuse haldusprogrammi väljavahetamine</t>
  </si>
  <si>
    <t>Toetus Eesti Apostlik Õigeusu Kirikule</t>
  </si>
  <si>
    <t>Lasteaed Karoliine (Kesk 6)</t>
  </si>
  <si>
    <t>Karlova Kool (Lina 2)</t>
  </si>
  <si>
    <t xml:space="preserve">   Lasteaiad (09110)</t>
  </si>
  <si>
    <t xml:space="preserve">   Muu haridus (09800)</t>
  </si>
  <si>
    <t>08234</t>
  </si>
  <si>
    <t>08236</t>
  </si>
  <si>
    <t>09213</t>
  </si>
  <si>
    <t>09223</t>
  </si>
  <si>
    <t>09300</t>
  </si>
  <si>
    <t>antavad
toetused</t>
  </si>
  <si>
    <t>muud 
tegevus-
kulud</t>
  </si>
  <si>
    <t>Volikogu</t>
  </si>
  <si>
    <t>Linnavalitsus</t>
  </si>
  <si>
    <t>Reservfond</t>
  </si>
  <si>
    <t>Personaliteenused (õppelaenude kustutamine)</t>
  </si>
  <si>
    <t>Muud üldised teenused</t>
  </si>
  <si>
    <t>Ühistegevuskulud</t>
  </si>
  <si>
    <t>Politsei</t>
  </si>
  <si>
    <t>Muu avalik kord</t>
  </si>
  <si>
    <t>Maakorraldus</t>
  </si>
  <si>
    <t>Linna teed ja tänavad</t>
  </si>
  <si>
    <t>Ühistranspordi korraldus</t>
  </si>
  <si>
    <t>Turism</t>
  </si>
  <si>
    <t>Üldmajanduslikud arendusprojektid</t>
  </si>
  <si>
    <t>Muu majandus</t>
  </si>
  <si>
    <t>Jäätmekäitlus</t>
  </si>
  <si>
    <t>Heitveekäitlus</t>
  </si>
  <si>
    <t>Haljastus</t>
  </si>
  <si>
    <t>Muu keskkonnakaitse</t>
  </si>
  <si>
    <t>Elamumajanduse arendamine</t>
  </si>
  <si>
    <t>Veevarustus</t>
  </si>
  <si>
    <t>Tänavavalgustus</t>
  </si>
  <si>
    <t>Muud kommunaalteenused</t>
  </si>
  <si>
    <t>Põetusvahendid</t>
  </si>
  <si>
    <t>Üldmeditsiiniteenused</t>
  </si>
  <si>
    <t>Hooldusravi</t>
  </si>
  <si>
    <t>Avalikud tervishoiuteenused</t>
  </si>
  <si>
    <t>Puuetega inimeste sotsiaalhoolekande asutused</t>
  </si>
  <si>
    <t>Muu puuetega inimeste sotsiaalne kaitse</t>
  </si>
  <si>
    <t>Eakate sotsiaalhoolekande asutused</t>
  </si>
  <si>
    <t>Laste ja noorte sotsiaalhoolekande asutused</t>
  </si>
  <si>
    <t>Muu perede ja laste sotsiaalne kaitse</t>
  </si>
  <si>
    <t>Riskirühmade sotsiaalhoolekande asutused</t>
  </si>
  <si>
    <t>Riiklik toimetulekutoetus</t>
  </si>
  <si>
    <t>Muu sotsiaalsete riskirühmade kaitse</t>
  </si>
  <si>
    <t>Muu sotsiaalne kaitse</t>
  </si>
  <si>
    <t>Koolieelsed lasteasutused</t>
  </si>
  <si>
    <t>Põhihariduse otsekulud- põhikoolid</t>
  </si>
  <si>
    <t>Üldkeskhariduse otsekulud -gümnaasiumid</t>
  </si>
  <si>
    <t>Põhi- ja üldkeskhariduse kaudsed kulud</t>
  </si>
  <si>
    <t>Kutseõppe kaudsed kulud</t>
  </si>
  <si>
    <t>Põhihariduse baasil kutseõppe otsekulud</t>
  </si>
  <si>
    <t>Keshariduse baasil kutseõppe otsekulud</t>
  </si>
  <si>
    <t>Kõrgharidus</t>
  </si>
  <si>
    <t>Taseme alusel mittemääratletav haridus</t>
  </si>
  <si>
    <t>Koolitransport</t>
  </si>
  <si>
    <t>Koolitoit</t>
  </si>
  <si>
    <t>Öömaja</t>
  </si>
  <si>
    <t>Hariduse abiteenused</t>
  </si>
  <si>
    <t>Muu haridus</t>
  </si>
  <si>
    <t>Spordibaasid, noortesport</t>
  </si>
  <si>
    <t>Puhkepargid</t>
  </si>
  <si>
    <t>Laste huvikoolid</t>
  </si>
  <si>
    <t>Laste huvialamajad ja keskused</t>
  </si>
  <si>
    <t>Noorsootöö</t>
  </si>
  <si>
    <t>Täiskasvanute huvialaasutused</t>
  </si>
  <si>
    <t>Noorsoo- ja spordiprojektid</t>
  </si>
  <si>
    <t>Raamatukogud</t>
  </si>
  <si>
    <t>Rahva- ja kultuurimajad</t>
  </si>
  <si>
    <t>Muuseumid</t>
  </si>
  <si>
    <t>Teatrid</t>
  </si>
  <si>
    <t>Kontsertorganisatsioonid</t>
  </si>
  <si>
    <t>Muinsuskaitse</t>
  </si>
  <si>
    <t>Kultuuriüritused</t>
  </si>
  <si>
    <t>Seltsitegevus</t>
  </si>
  <si>
    <t>Botaanikaaed</t>
  </si>
  <si>
    <t>Kirjastused</t>
  </si>
  <si>
    <t>Muu vabaaeg ja kultuur</t>
  </si>
  <si>
    <t>spordiinventari soetuseks</t>
  </si>
  <si>
    <t>Swedbank 2014. a võlakiri</t>
  </si>
  <si>
    <t>Danske Bank 2013. a võlakiri</t>
  </si>
  <si>
    <t xml:space="preserve">Nordea Pank 2011. a võlakiri             </t>
  </si>
  <si>
    <t>SEB Pank 2012. a võlakiri</t>
  </si>
  <si>
    <t>Depfa Bank 2007. a võlakiri</t>
  </si>
  <si>
    <t>x</t>
  </si>
  <si>
    <t>s h võlakirjad</t>
  </si>
  <si>
    <t xml:space="preserve">     kapitalirent</t>
  </si>
  <si>
    <r>
      <t xml:space="preserve">   </t>
    </r>
    <r>
      <rPr>
        <b/>
        <i/>
        <sz val="11"/>
        <rFont val="Times New Roman"/>
        <family val="1"/>
        <charset val="186"/>
      </rPr>
      <t>Linnavalitsus</t>
    </r>
  </si>
  <si>
    <t>Sotsiaalmaja (Jaamamõisa 38) eskiis</t>
  </si>
  <si>
    <t>osalus korteriühistute hoonete rekonstrueerimistöödel</t>
  </si>
  <si>
    <t>Võidu silla kujundusvalgustus</t>
  </si>
  <si>
    <t>Hipodroomi 12a ringteele valgustuse ehitus</t>
  </si>
  <si>
    <t>Annelinna piirkonna valgustuse renoveerimise projekt</t>
  </si>
  <si>
    <t>Uspenski kabeli katuse ja Raadi leinamaja remont</t>
  </si>
  <si>
    <t>Rahumäe kalmistu abihoone projekteerimine</t>
  </si>
  <si>
    <t>Uus-Jaani, Vana-Peetri, Uus-Peetri ja Paluluse kalmistute väravate restaureerimine</t>
  </si>
  <si>
    <t>Vana-Jaani kalmistu värava rekonstrueerimise projekteerimine</t>
  </si>
  <si>
    <t>Toomemäe rekonstrueerimine</t>
  </si>
  <si>
    <t>Riiamäe platsi rekonstrueerimine</t>
  </si>
  <si>
    <t>Tartu tammiku projekteerimine</t>
  </si>
  <si>
    <t>Emajõe suvekohvikute platvormide ehitamine</t>
  </si>
  <si>
    <t>Ihaste välitreeningala kaasajastamine</t>
  </si>
  <si>
    <t>Projekteerimine ja projektide korrektuurid</t>
  </si>
  <si>
    <t>Jalaka 48a mängu- ja spordiväljaku ehitamine</t>
  </si>
  <si>
    <t>Juhtimiskilpide ja valgustite kaugjuhitavate juhtimiskontrollerite ost ja paigaldamine</t>
  </si>
  <si>
    <t>EMÜ spordihoone ehitamise toetamine</t>
  </si>
  <si>
    <t>TÜ spordihoone renoveerimise toetamine</t>
  </si>
  <si>
    <t>Linnavalitsuse IT vahendite soetamine</t>
  </si>
  <si>
    <t>Annemõisa spordikeskuse olmehoone rekonstrueerimine</t>
  </si>
  <si>
    <t>paadikuuri remondiks</t>
  </si>
  <si>
    <t>spordivarustuse soetamiseks</t>
  </si>
  <si>
    <t xml:space="preserve">rajatraktori rendimakseteks </t>
  </si>
  <si>
    <t xml:space="preserve">galeriide ja raadiomaja katuse remondiks </t>
  </si>
  <si>
    <t>BMX krossiraja renoveerimiseks, ronimisseina rajamiseks ja dendropargi terviseradade arenduseks</t>
  </si>
  <si>
    <t xml:space="preserve">  Muuseumid</t>
  </si>
  <si>
    <t xml:space="preserve">  Muu vabaaeg ja kultuur</t>
  </si>
  <si>
    <t>Elleri amfiteater Toomemäe nõlval (kaasav eelarve)</t>
  </si>
  <si>
    <t>Arena Tartu eskiisprojekt (kaasav eelarve)</t>
  </si>
  <si>
    <r>
      <t xml:space="preserve">   </t>
    </r>
    <r>
      <rPr>
        <b/>
        <i/>
        <sz val="11"/>
        <rFont val="Times New Roman"/>
        <family val="1"/>
        <charset val="186"/>
      </rPr>
      <t>Laste huvialamajad ja keskused</t>
    </r>
  </si>
  <si>
    <t>Tartu idapoolse ringtee ehitamine</t>
  </si>
  <si>
    <t xml:space="preserve">Roosi tn </t>
  </si>
  <si>
    <t>Muuseumi tee</t>
  </si>
  <si>
    <t>Soola, Turu, Kalevi tn</t>
  </si>
  <si>
    <t>Koostööprojektid korteriühistutega parklate (sh rattaparklad) rajamiseks</t>
  </si>
  <si>
    <t>Sanatooriumi tn</t>
  </si>
  <si>
    <t xml:space="preserve">Kastani (Kuperjanovi - Riia), Tiigi - Vaksali </t>
  </si>
  <si>
    <t>Ülikooli tn rekonstrueerimine (Vallikraavi-Lossi)</t>
  </si>
  <si>
    <t xml:space="preserve">Vaksali tn väljak, parklad, kergliiklusteed </t>
  </si>
  <si>
    <t>Raudtee tn T41 juurdepääsutee ehitamine</t>
  </si>
  <si>
    <t>Struve tn</t>
  </si>
  <si>
    <t>Projekteerimised</t>
  </si>
  <si>
    <t>Kaarsilla remondi projekteerimine</t>
  </si>
  <si>
    <t>Turusilla remont</t>
  </si>
  <si>
    <t>Baeri-Näituse-Ilmatsalu</t>
  </si>
  <si>
    <t>Turu jalakäijate sild-Annelinn-Nõlvaku</t>
  </si>
  <si>
    <t>Kroonuaia sild-Aruküla tee</t>
  </si>
  <si>
    <t>Kreutzwaldi tn (Carolina-linna piir)</t>
  </si>
  <si>
    <t>Jalgtee Võidu sillale</t>
  </si>
  <si>
    <t>Filosoofi, Lootuse, Kalevi, Aida kergliiklusteed</t>
  </si>
  <si>
    <t>Võru tn kõnnitee (Riia - Kastani)</t>
  </si>
  <si>
    <t>Tamme pst kõnniteed</t>
  </si>
  <si>
    <t>Toetus Tartu Ülikoolile raamatukoguesise platsi rekonstrueerimiseks</t>
  </si>
  <si>
    <t>Toetus SA-le Tartu Loomemajanduskeskus loomekiirendi fondi moodustamiseks</t>
  </si>
  <si>
    <t>Tartu Maratoni monumendi rajamine</t>
  </si>
  <si>
    <t>LA Rukkilill (Sepa 18)</t>
  </si>
  <si>
    <t>LA Maarjamõisa (Puusepa 10)</t>
  </si>
  <si>
    <t>LA Ristikhein (Ropka tee 25)</t>
  </si>
  <si>
    <t>Lasteaedade rühmade remondid</t>
  </si>
  <si>
    <t>Lasteaedade köökide remondid ja köögiseadmete ost</t>
  </si>
  <si>
    <t>Lasteaedade sisekliima tagamine</t>
  </si>
  <si>
    <t>Lasteaedade mänguväljakute ja õuepaviljonide korrashoid</t>
  </si>
  <si>
    <t>Karlova Kooli (Lina 2) staadion</t>
  </si>
  <si>
    <t>Kroonuaia Kool (Puiestee 62)</t>
  </si>
  <si>
    <t>Descartes'i Kool (Anne 65)</t>
  </si>
  <si>
    <t>H. Masingu Kool (Vanemuise 33)</t>
  </si>
  <si>
    <t>Haridusasutuste territooriumide korrashoid</t>
  </si>
  <si>
    <t>Haridusasutuste välistreppide rekonstrueerimine</t>
  </si>
  <si>
    <t>Täiskasvanute gümnaasiumide kaudsed kulud</t>
  </si>
  <si>
    <t>Osaluste müük</t>
  </si>
  <si>
    <t>Roosi ja Kasarmu tn äärsete alade korrastamine (ERMi ümbrus)</t>
  </si>
  <si>
    <t>Tiigi Seltsimaja (Tiigi 11)</t>
  </si>
  <si>
    <t xml:space="preserve">Kalda tee 40 </t>
  </si>
  <si>
    <t>Mõisavahe 67</t>
  </si>
  <si>
    <t xml:space="preserve">Puiestee 114 </t>
  </si>
  <si>
    <t>Annemõisa 4</t>
  </si>
  <si>
    <t>Tamme staadion</t>
  </si>
  <si>
    <t>Veski baas</t>
  </si>
  <si>
    <t xml:space="preserve">II Muusikakool (Kaunase pst 23) </t>
  </si>
  <si>
    <t xml:space="preserve">Anne Noortekeskus (Uus 56) </t>
  </si>
  <si>
    <t>Lille Maja (Lille 9)</t>
  </si>
  <si>
    <t>Linnamuuseumi (Narva mnt 25) püsinäituse arhitektuurne ja sisekujunduslik eskiisprojekt</t>
  </si>
  <si>
    <t>(Pepleri 1a)</t>
  </si>
  <si>
    <t>Koolide spordiväljakud ja staadionid</t>
  </si>
  <si>
    <t>koolide spordiväljakud</t>
  </si>
  <si>
    <t>M. Reiniku kooli (Riia 25) staadion</t>
  </si>
  <si>
    <t>Linnale kuuluvate elamute remont, sh:</t>
  </si>
  <si>
    <t>OÜ-le Anne Saun (Anne 44) lifti paigaldamiseks</t>
  </si>
  <si>
    <t>Kanali äärde koerte jalutusväljaku rajamine</t>
  </si>
  <si>
    <t>Varude müük</t>
  </si>
  <si>
    <t>Killustikparkla rajamine tasuta parkimiseks (Uus 63d)</t>
  </si>
  <si>
    <t>Küüni 5 ametiruumide remont</t>
  </si>
  <si>
    <t>Toetus Tartu Maarja Kiriku SAle</t>
  </si>
  <si>
    <t xml:space="preserve">Linnakodaniku muuseum (Jaani 16) </t>
  </si>
  <si>
    <t>A. Puškini Kool (Uus 54)</t>
  </si>
  <si>
    <t>Veeriku Kool (Veeriku 41)</t>
  </si>
  <si>
    <t>Hansa Kool (Anne 63)</t>
  </si>
  <si>
    <t>Kesklinna Kool (Kroonuaia 7)</t>
  </si>
  <si>
    <t>Raatuse Kool (Raatuse 88a)</t>
  </si>
  <si>
    <t>Tamme Kool (Tamme pst 24a)</t>
  </si>
  <si>
    <t>Kalmistu t tänavaäärsete piirete remont</t>
  </si>
  <si>
    <t>Rahu 8</t>
  </si>
  <si>
    <t>TARTU LINNA 2016. a  KOONDEELARVE</t>
  </si>
  <si>
    <t>Saadavad toetused tegevuskuludeks</t>
  </si>
  <si>
    <r>
      <t xml:space="preserve">EELARVE TULEM </t>
    </r>
    <r>
      <rPr>
        <sz val="11"/>
        <rFont val="Times New Roman"/>
        <family val="1"/>
        <charset val="186"/>
      </rPr>
      <t>(ülejääk (+), puudujääk (-))</t>
    </r>
  </si>
  <si>
    <r>
      <t>LIKVIIDSETE VARADE MUUTUS</t>
    </r>
    <r>
      <rPr>
        <sz val="11"/>
        <rFont val="Times New Roman"/>
        <family val="1"/>
        <charset val="186"/>
      </rPr>
      <t xml:space="preserve">
(suurenemine (+), vähenemine (-))</t>
    </r>
  </si>
  <si>
    <t xml:space="preserve">TARTU LINNA  2016. a eelarve  TULUBAAS  </t>
  </si>
  <si>
    <t>Saadav sihtfinantseerimine tegevuskuludeks</t>
  </si>
  <si>
    <t>Saadav tegevustoetus</t>
  </si>
  <si>
    <r>
      <t xml:space="preserve">Kohustuste võtmine </t>
    </r>
    <r>
      <rPr>
        <sz val="11"/>
        <rFont val="Times New Roman"/>
        <family val="1"/>
        <charset val="186"/>
      </rPr>
      <t>- võlakirjade emiteerimine</t>
    </r>
  </si>
  <si>
    <t>TARTU LINNA 2016. a  eelarve PÕHITEGEVUSE KULUD</t>
  </si>
  <si>
    <t>Tege- 
vusala
kood</t>
  </si>
  <si>
    <t>Tegevusala nimetus</t>
  </si>
  <si>
    <t>Kokku, sh</t>
  </si>
  <si>
    <t>TARTU LINNA 2016. a eelarve INVESTEERIMISTEGEVUSE  KULUD</t>
  </si>
  <si>
    <t>Kulu 
liik</t>
  </si>
  <si>
    <t>INVESTEERIMISTEGEVUS  KULUD  kokku</t>
  </si>
  <si>
    <t>ÜLDISED  VALITSUSSEKTORI  TEENUSED</t>
  </si>
  <si>
    <t xml:space="preserve">   Valitsussektori võla teenindamine</t>
  </si>
  <si>
    <t>FINANTSEERIMISTEGEVUSE  TULUD</t>
  </si>
  <si>
    <t>MAJANDUS</t>
  </si>
  <si>
    <r>
      <t xml:space="preserve">   </t>
    </r>
    <r>
      <rPr>
        <b/>
        <i/>
        <sz val="11"/>
        <rFont val="Times New Roman"/>
        <family val="1"/>
        <charset val="186"/>
      </rPr>
      <t>Maakorraldus</t>
    </r>
    <r>
      <rPr>
        <sz val="11"/>
        <rFont val="Times New Roman"/>
        <family val="1"/>
        <charset val="186"/>
      </rPr>
      <t xml:space="preserve"> - </t>
    </r>
    <r>
      <rPr>
        <i/>
        <sz val="11"/>
        <rFont val="Times New Roman"/>
        <family val="1"/>
        <charset val="186"/>
      </rPr>
      <t xml:space="preserve">
</t>
    </r>
    <r>
      <rPr>
        <sz val="11"/>
        <rFont val="Times New Roman"/>
        <family val="1"/>
        <charset val="186"/>
      </rPr>
      <t>maa ost teede ja tänavate aluse maa korraldamiseks</t>
    </r>
  </si>
  <si>
    <t>Jalg- ja jalgrattateed</t>
  </si>
  <si>
    <r>
      <t xml:space="preserve">   </t>
    </r>
    <r>
      <rPr>
        <b/>
        <i/>
        <sz val="11"/>
        <rFont val="Times New Roman"/>
        <family val="1"/>
        <charset val="186"/>
      </rPr>
      <t>Liikluskorraldus</t>
    </r>
    <r>
      <rPr>
        <sz val="11"/>
        <rFont val="Times New Roman"/>
        <family val="1"/>
        <charset val="186"/>
      </rPr>
      <t xml:space="preserve"> - 
Kroonuaia-Emajõe fooride rekonstrueerimine</t>
    </r>
  </si>
  <si>
    <t>KESKKONNAKAITSE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</si>
  <si>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Jäätmekäitlus </t>
    </r>
    <r>
      <rPr>
        <sz val="11"/>
        <rFont val="Times New Roman"/>
        <family val="1"/>
        <charset val="186"/>
      </rPr>
      <t>- toetus jäätmemajade ja süvakogumismahutite rajamiseks</t>
    </r>
  </si>
  <si>
    <r>
      <t xml:space="preserve">   Veemajandus </t>
    </r>
    <r>
      <rPr>
        <sz val="11"/>
        <rFont val="Times New Roman"/>
        <family val="1"/>
        <charset val="186"/>
      </rPr>
      <t>- toetus hüdrantide rajamiseks</t>
    </r>
  </si>
  <si>
    <r>
      <t xml:space="preserve">   Muu keskkonnakaitse</t>
    </r>
    <r>
      <rPr>
        <sz val="11"/>
        <rFont val="Times New Roman"/>
        <family val="1"/>
        <charset val="186"/>
      </rPr>
      <t xml:space="preserve"> - 
purrete paigaldamine Emajõe kallasrajale</t>
    </r>
  </si>
  <si>
    <t>ELAMU- ja KOMMUNAALMAJANDUS</t>
  </si>
  <si>
    <r>
      <t xml:space="preserve">   Muu tervishoid</t>
    </r>
    <r>
      <rPr>
        <sz val="11"/>
        <rFont val="Times New Roman"/>
        <family val="1"/>
        <charset val="186"/>
      </rPr>
      <t xml:space="preserve"> - Annelinna tervisekeskuse ruumimahu määratlemine ja eskiisprojekti koostamine</t>
    </r>
  </si>
  <si>
    <t>TERVISHOID</t>
  </si>
  <si>
    <t>VABA AEG ja KULTUUR</t>
  </si>
  <si>
    <t>Toetus Sõudmise ja Aerutamise Klubile, sh</t>
  </si>
  <si>
    <t xml:space="preserve">SAle Tartu Sport, sh </t>
  </si>
  <si>
    <r>
      <t xml:space="preserve">   Raamatukogud</t>
    </r>
    <r>
      <rPr>
        <sz val="11"/>
        <rFont val="Times New Roman"/>
        <family val="1"/>
        <charset val="186"/>
      </rPr>
      <t xml:space="preserve"> - O. Lutsu nim Linnaraamatukogu</t>
    </r>
  </si>
  <si>
    <t xml:space="preserve">Hoone rekonstrueerimistöödeks (Kompanii 3/5) </t>
  </si>
  <si>
    <t>Linnaraamatukogu harukogudele videovalve paigaldamine</t>
  </si>
  <si>
    <t>Linnamuuseum (Narva mnt 23) ruumide remondiks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</si>
  <si>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Kirjastused - </t>
    </r>
    <r>
      <rPr>
        <sz val="11"/>
        <rFont val="Times New Roman"/>
        <family val="1"/>
        <charset val="186"/>
      </rPr>
      <t>Eesti Kirjanike Liidu Tartu osakonnale Tartu Kirjanduse Maja (Vanemuise 19) välistrepi remondiks</t>
    </r>
  </si>
  <si>
    <t>HARIDUS</t>
  </si>
  <si>
    <t xml:space="preserve">Uute lasteaedade rajamine, sh </t>
  </si>
  <si>
    <t>Lasteaedade rekonstrueerimine, sh</t>
  </si>
  <si>
    <r>
      <t xml:space="preserve"> Põhikoolid (09212) </t>
    </r>
    <r>
      <rPr>
        <sz val="11"/>
        <rFont val="Times New Roman"/>
        <family val="1"/>
        <charset val="186"/>
      </rPr>
      <t>- 
põhikoolide rekonstrueerimine, sh</t>
    </r>
  </si>
  <si>
    <r>
      <t xml:space="preserve">    Gümnaasiumid (09213)</t>
    </r>
    <r>
      <rPr>
        <sz val="11"/>
        <color indexed="8"/>
        <rFont val="Times New Roman"/>
        <family val="1"/>
        <charset val="186"/>
      </rPr>
      <t xml:space="preserve"> - H. Treffneri Gümnaasium (Munga 12)</t>
    </r>
  </si>
  <si>
    <r>
      <t xml:space="preserve">   Põhi- ja üldkeskhariduse kaudsed kulud </t>
    </r>
    <r>
      <rPr>
        <b/>
        <sz val="11"/>
        <color indexed="8"/>
        <rFont val="Times New Roman"/>
        <family val="1"/>
        <charset val="186"/>
      </rPr>
      <t xml:space="preserve">(täistsükli koolid (09220)) - </t>
    </r>
    <r>
      <rPr>
        <sz val="11"/>
        <color indexed="8"/>
        <rFont val="Times New Roman"/>
        <family val="1"/>
        <charset val="186"/>
      </rPr>
      <t>Annelinna Gümnaasium (Kaunase pst 68)</t>
    </r>
  </si>
  <si>
    <r>
      <t xml:space="preserve">   </t>
    </r>
    <r>
      <rPr>
        <b/>
        <i/>
        <sz val="11"/>
        <rFont val="Times New Roman"/>
        <family val="1"/>
        <charset val="186"/>
      </rPr>
      <t>Kutseõppeasutused (09222)</t>
    </r>
    <r>
      <rPr>
        <sz val="11"/>
        <rFont val="Times New Roman"/>
        <family val="1"/>
        <charset val="186"/>
      </rPr>
      <t xml:space="preserve"> - Kutsehariduskeskus</t>
    </r>
  </si>
  <si>
    <t>Ruumide remont (Põllu 11)</t>
  </si>
  <si>
    <t>Õppeotstarbeliste seadmete soetamine</t>
  </si>
  <si>
    <r>
      <t xml:space="preserve">    Taseme alusel mittemääratletav haridus </t>
    </r>
    <r>
      <rPr>
        <sz val="11"/>
        <color indexed="8"/>
        <rFont val="Times New Roman"/>
        <family val="1"/>
        <charset val="186"/>
      </rPr>
      <t>- 
Kutsehariduskeskuse õppeotstarbeliste seadmete soetamine</t>
    </r>
  </si>
  <si>
    <t>SOTSIAALNE  KAITSE</t>
  </si>
  <si>
    <r>
      <t xml:space="preserve">   </t>
    </r>
    <r>
      <rPr>
        <b/>
        <i/>
        <sz val="11"/>
        <rFont val="Times New Roman"/>
        <family val="1"/>
        <charset val="186"/>
      </rPr>
      <t>Muu puuetega inimeste sotsiaalne kaitse</t>
    </r>
    <r>
      <rPr>
        <sz val="11"/>
        <rFont val="Times New Roman"/>
        <family val="1"/>
        <charset val="186"/>
      </rPr>
      <t xml:space="preserve"> - 
Puuetega Inimeste Koja ruumide (Rahu 8) remont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</si>
  <si>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Eakate hoolekande asutused </t>
    </r>
    <r>
      <rPr>
        <sz val="11"/>
        <rFont val="Times New Roman"/>
        <family val="1"/>
        <charset val="186"/>
      </rPr>
      <t>- 
Hooldekodule majandusinventari soetus</t>
    </r>
  </si>
  <si>
    <r>
      <t xml:space="preserve">   Laste ja noorte hoolekande asutused</t>
    </r>
    <r>
      <rPr>
        <sz val="11"/>
        <rFont val="Times New Roman"/>
        <family val="1"/>
        <charset val="186"/>
      </rPr>
      <t xml:space="preserve"> - toetus Mäe kodu (Mäe 33) rekonstrueerimise projektile</t>
    </r>
  </si>
  <si>
    <t xml:space="preserve">   Muu sotsiaalsete riskirühmade kaitse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</si>
  <si>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  <r>
      <rPr>
        <sz val="11"/>
        <rFont val="Times New Roman"/>
        <family val="1"/>
        <charset val="186"/>
      </rPr>
      <t xml:space="preserve"> - SA-le Tähtvere Puhkepark</t>
    </r>
  </si>
  <si>
    <t>Lisa 5. Tartu linna 2016. a eelarve FINANTSEERIMISTEGEVUSE  KULUD</t>
  </si>
  <si>
    <t>Laenukohustus</t>
  </si>
  <si>
    <t>L A E N U K O H U S T U S T E</t>
  </si>
  <si>
    <t xml:space="preserve">algne 
kogumaht 
kehtivate 
lepingute 
järgi </t>
  </si>
  <si>
    <t>31.12.2015 
seisuga 
jääk</t>
  </si>
  <si>
    <t xml:space="preserve">2016. a tasumisele kuuluv osa
</t>
  </si>
  <si>
    <t>31.12.2016 
seisuga 
jääk</t>
  </si>
  <si>
    <t>Danske Bank 2015. a võlakiri</t>
  </si>
  <si>
    <t>Svensk Exportkredit AB 2006. a 
võlakiri</t>
  </si>
  <si>
    <t>Svensk Exportkredit AB 2007. a 
võlakiri</t>
  </si>
  <si>
    <t>Uus 2016. a võlakiri</t>
  </si>
  <si>
    <t>Tähtvere skatepargi uuendamine</t>
  </si>
  <si>
    <t>kunstmuru hooldamise traktori rendimakseteks</t>
  </si>
  <si>
    <t>Spordihoone (Turu 8)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</si>
</sst>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#,##0.0"/>
    <numFmt numFmtId="165" formatCode="_(* #,##0.00_);_(* \(#,##0.00\);_(* &quot;-&quot;??_);_(@_)"/>
    <numFmt numFmtId="166" formatCode="#,##0.000"/>
    <numFmt numFmtId="167" formatCode="\ #,##0.00&quot;     &quot;;\-#,##0.00&quot;     &quot;;&quot; -&quot;#&quot;     &quot;;@\ "/>
  </numFmts>
  <fonts count="52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0000FF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color theme="4" tint="-0.249977111117893"/>
      <name val="Times New Roman"/>
      <family val="1"/>
      <charset val="186"/>
    </font>
    <font>
      <sz val="12"/>
      <color theme="4" tint="-0.249977111117893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9"/>
      <color theme="4" tint="-0.249977111117893"/>
      <name val="Times New Roman"/>
      <family val="1"/>
      <charset val="186"/>
    </font>
    <font>
      <b/>
      <sz val="9"/>
      <color theme="4" tint="-0.249977111117893"/>
      <name val="Times New Roman"/>
      <family val="1"/>
      <charset val="186"/>
    </font>
    <font>
      <i/>
      <sz val="10"/>
      <color theme="4" tint="-0.249977111117893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sz val="11.5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3">
    <xf numFmtId="0" fontId="0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35" borderId="54" applyNumberFormat="0" applyAlignment="0" applyProtection="0"/>
    <xf numFmtId="0" fontId="38" fillId="35" borderId="54" applyNumberFormat="0" applyAlignment="0" applyProtection="0"/>
    <xf numFmtId="0" fontId="39" fillId="36" borderId="55" applyNumberFormat="0" applyAlignment="0" applyProtection="0"/>
    <xf numFmtId="0" fontId="39" fillId="36" borderId="55" applyNumberFormat="0" applyAlignment="0" applyProtection="0"/>
    <xf numFmtId="167" fontId="1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3" fillId="0" borderId="57" applyNumberFormat="0" applyFill="0" applyAlignment="0" applyProtection="0"/>
    <xf numFmtId="0" fontId="43" fillId="0" borderId="57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8" borderId="54" applyNumberFormat="0" applyAlignment="0" applyProtection="0"/>
    <xf numFmtId="0" fontId="46" fillId="8" borderId="54" applyNumberFormat="0" applyAlignment="0" applyProtection="0"/>
    <xf numFmtId="0" fontId="47" fillId="0" borderId="59" applyNumberFormat="0" applyFill="0" applyAlignment="0" applyProtection="0"/>
    <xf numFmtId="0" fontId="47" fillId="0" borderId="59" applyNumberFormat="0" applyFill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38" borderId="60" applyNumberFormat="0" applyAlignment="0" applyProtection="0"/>
    <xf numFmtId="0" fontId="7" fillId="38" borderId="60" applyNumberFormat="0" applyAlignment="0" applyProtection="0"/>
    <xf numFmtId="0" fontId="49" fillId="35" borderId="61" applyNumberFormat="0" applyAlignment="0" applyProtection="0"/>
    <xf numFmtId="0" fontId="49" fillId="35" borderId="6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42" borderId="0" applyNumberFormat="0" applyBorder="0" applyAlignment="0" applyProtection="0"/>
    <xf numFmtId="0" fontId="46" fillId="14" borderId="54" applyNumberFormat="0" applyAlignment="0" applyProtection="0"/>
    <xf numFmtId="0" fontId="49" fillId="43" borderId="61" applyNumberFormat="0" applyAlignment="0" applyProtection="0"/>
    <xf numFmtId="0" fontId="38" fillId="43" borderId="54" applyNumberFormat="0" applyAlignment="0" applyProtection="0"/>
    <xf numFmtId="0" fontId="42" fillId="0" borderId="56" applyNumberFormat="0" applyFill="0" applyAlignment="0" applyProtection="0"/>
    <xf numFmtId="0" fontId="43" fillId="0" borderId="57" applyNumberFormat="0" applyFill="0" applyAlignment="0" applyProtection="0"/>
    <xf numFmtId="0" fontId="44" fillId="0" borderId="58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62" applyNumberFormat="0" applyFill="0" applyAlignment="0" applyProtection="0"/>
    <xf numFmtId="0" fontId="39" fillId="44" borderId="55" applyNumberFormat="0" applyAlignment="0" applyProtection="0"/>
    <xf numFmtId="0" fontId="50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46" borderId="60" applyNumberFormat="0" applyFont="0" applyAlignment="0" applyProtection="0"/>
    <xf numFmtId="0" fontId="47" fillId="0" borderId="59" applyNumberFormat="0" applyFill="0" applyAlignment="0" applyProtection="0"/>
    <xf numFmtId="0" fontId="45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90">
    <xf numFmtId="0" fontId="0" fillId="0" borderId="0" xfId="0"/>
    <xf numFmtId="0" fontId="9" fillId="0" borderId="0" xfId="0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9" fillId="0" borderId="0" xfId="0" applyFont="1" applyFill="1"/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9" fillId="0" borderId="0" xfId="0" applyFont="1" applyFill="1" applyAlignment="1">
      <alignment wrapText="1"/>
    </xf>
    <xf numFmtId="3" fontId="9" fillId="0" borderId="4" xfId="0" applyNumberFormat="1" applyFont="1" applyBorder="1" applyAlignment="1">
      <alignment horizontal="right"/>
    </xf>
    <xf numFmtId="3" fontId="9" fillId="0" borderId="4" xfId="0" applyNumberFormat="1" applyFont="1" applyFill="1" applyBorder="1"/>
    <xf numFmtId="3" fontId="8" fillId="0" borderId="4" xfId="0" applyNumberFormat="1" applyFont="1" applyFill="1" applyBorder="1"/>
    <xf numFmtId="0" fontId="9" fillId="0" borderId="4" xfId="0" applyFont="1" applyBorder="1"/>
    <xf numFmtId="3" fontId="9" fillId="0" borderId="4" xfId="0" applyNumberFormat="1" applyFont="1" applyBorder="1" applyAlignment="1"/>
    <xf numFmtId="3" fontId="9" fillId="0" borderId="2" xfId="0" applyNumberFormat="1" applyFont="1" applyFill="1" applyBorder="1"/>
    <xf numFmtId="0" fontId="9" fillId="0" borderId="0" xfId="0" applyFont="1" applyAlignment="1">
      <alignment vertical="center"/>
    </xf>
    <xf numFmtId="3" fontId="18" fillId="0" borderId="4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9" xfId="0" applyFont="1" applyBorder="1"/>
    <xf numFmtId="3" fontId="8" fillId="0" borderId="0" xfId="0" applyNumberFormat="1" applyFont="1"/>
    <xf numFmtId="3" fontId="19" fillId="0" borderId="0" xfId="0" applyNumberFormat="1" applyFont="1"/>
    <xf numFmtId="0" fontId="20" fillId="0" borderId="0" xfId="0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/>
    <xf numFmtId="3" fontId="9" fillId="0" borderId="15" xfId="0" applyNumberFormat="1" applyFont="1" applyBorder="1"/>
    <xf numFmtId="0" fontId="9" fillId="0" borderId="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9" fillId="0" borderId="13" xfId="0" applyNumberFormat="1" applyFont="1" applyBorder="1"/>
    <xf numFmtId="3" fontId="9" fillId="0" borderId="14" xfId="0" applyNumberFormat="1" applyFont="1" applyBorder="1"/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13" xfId="0" applyFont="1" applyFill="1" applyBorder="1"/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15" xfId="0" applyFont="1" applyBorder="1"/>
    <xf numFmtId="3" fontId="8" fillId="0" borderId="14" xfId="0" applyNumberFormat="1" applyFont="1" applyBorder="1"/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vertical="center"/>
    </xf>
    <xf numFmtId="3" fontId="8" fillId="0" borderId="13" xfId="0" applyNumberFormat="1" applyFont="1" applyBorder="1"/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wrapText="1"/>
    </xf>
    <xf numFmtId="0" fontId="8" fillId="0" borderId="0" xfId="0" applyFont="1" applyBorder="1"/>
    <xf numFmtId="0" fontId="8" fillId="0" borderId="20" xfId="0" applyFont="1" applyBorder="1"/>
    <xf numFmtId="0" fontId="9" fillId="0" borderId="9" xfId="0" applyFont="1" applyBorder="1" applyAlignment="1"/>
    <xf numFmtId="0" fontId="9" fillId="0" borderId="15" xfId="0" applyFont="1" applyBorder="1" applyAlignment="1"/>
    <xf numFmtId="0" fontId="9" fillId="0" borderId="0" xfId="0" applyFont="1" applyAlignment="1"/>
    <xf numFmtId="0" fontId="9" fillId="0" borderId="14" xfId="0" applyFont="1" applyBorder="1" applyAlignment="1">
      <alignment vertical="center" wrapText="1"/>
    </xf>
    <xf numFmtId="3" fontId="8" fillId="0" borderId="20" xfId="0" applyNumberFormat="1" applyFont="1" applyBorder="1"/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/>
    <xf numFmtId="0" fontId="8" fillId="0" borderId="13" xfId="0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/>
    </xf>
    <xf numFmtId="0" fontId="8" fillId="0" borderId="20" xfId="0" applyFont="1" applyBorder="1" applyAlignment="1"/>
    <xf numFmtId="3" fontId="8" fillId="0" borderId="20" xfId="0" applyNumberFormat="1" applyFont="1" applyBorder="1" applyAlignment="1"/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23" xfId="0" quotePrefix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3" fontId="9" fillId="0" borderId="27" xfId="0" applyNumberFormat="1" applyFont="1" applyBorder="1" applyAlignment="1"/>
    <xf numFmtId="0" fontId="9" fillId="0" borderId="29" xfId="0" applyFont="1" applyBorder="1" applyAlignment="1">
      <alignment horizontal="center"/>
    </xf>
    <xf numFmtId="0" fontId="9" fillId="0" borderId="2" xfId="0" applyFont="1" applyBorder="1"/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/>
    <xf numFmtId="3" fontId="9" fillId="0" borderId="30" xfId="0" applyNumberFormat="1" applyFont="1" applyBorder="1" applyAlignment="1"/>
    <xf numFmtId="0" fontId="9" fillId="0" borderId="29" xfId="0" quotePrefix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9" fillId="0" borderId="24" xfId="0" quotePrefix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8" fillId="0" borderId="31" xfId="0" quotePrefix="1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7" xfId="0" applyNumberFormat="1" applyFont="1" applyFill="1" applyBorder="1" applyAlignment="1">
      <alignment wrapText="1"/>
    </xf>
    <xf numFmtId="0" fontId="9" fillId="0" borderId="9" xfId="0" applyFont="1" applyFill="1" applyBorder="1"/>
    <xf numFmtId="0" fontId="9" fillId="0" borderId="15" xfId="0" applyFont="1" applyFill="1" applyBorder="1"/>
    <xf numFmtId="0" fontId="9" fillId="0" borderId="10" xfId="0" applyFont="1" applyFill="1" applyBorder="1"/>
    <xf numFmtId="3" fontId="9" fillId="0" borderId="6" xfId="0" applyNumberFormat="1" applyFont="1" applyFill="1" applyBorder="1"/>
    <xf numFmtId="0" fontId="9" fillId="0" borderId="18" xfId="0" applyFont="1" applyFill="1" applyBorder="1"/>
    <xf numFmtId="0" fontId="9" fillId="0" borderId="7" xfId="0" applyFont="1" applyBorder="1" applyAlignment="1">
      <alignment wrapText="1"/>
    </xf>
    <xf numFmtId="0" fontId="9" fillId="0" borderId="7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horizontal="left" wrapText="1"/>
    </xf>
    <xf numFmtId="0" fontId="9" fillId="0" borderId="7" xfId="0" applyFont="1" applyFill="1" applyBorder="1"/>
    <xf numFmtId="0" fontId="9" fillId="0" borderId="7" xfId="1" applyFont="1" applyBorder="1" applyAlignment="1">
      <alignment wrapText="1"/>
    </xf>
    <xf numFmtId="49" fontId="9" fillId="0" borderId="39" xfId="0" applyNumberFormat="1" applyFont="1" applyFill="1" applyBorder="1" applyAlignment="1">
      <alignment wrapText="1"/>
    </xf>
    <xf numFmtId="49" fontId="9" fillId="0" borderId="40" xfId="0" applyNumberFormat="1" applyFont="1" applyFill="1" applyBorder="1" applyAlignment="1">
      <alignment wrapText="1"/>
    </xf>
    <xf numFmtId="0" fontId="9" fillId="0" borderId="7" xfId="1" applyFont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3" fontId="8" fillId="0" borderId="2" xfId="0" applyNumberFormat="1" applyFont="1" applyFill="1" applyBorder="1"/>
    <xf numFmtId="3" fontId="8" fillId="0" borderId="30" xfId="0" applyNumberFormat="1" applyFont="1" applyFill="1" applyBorder="1"/>
    <xf numFmtId="3" fontId="9" fillId="0" borderId="27" xfId="0" applyNumberFormat="1" applyFont="1" applyFill="1" applyBorder="1"/>
    <xf numFmtId="3" fontId="9" fillId="0" borderId="28" xfId="0" applyNumberFormat="1" applyFont="1" applyFill="1" applyBorder="1"/>
    <xf numFmtId="3" fontId="8" fillId="0" borderId="27" xfId="0" applyNumberFormat="1" applyFont="1" applyFill="1" applyBorder="1"/>
    <xf numFmtId="3" fontId="18" fillId="0" borderId="27" xfId="0" applyNumberFormat="1" applyFont="1" applyFill="1" applyBorder="1"/>
    <xf numFmtId="3" fontId="9" fillId="0" borderId="30" xfId="0" applyNumberFormat="1" applyFont="1" applyFill="1" applyBorder="1"/>
    <xf numFmtId="0" fontId="9" fillId="0" borderId="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0" xfId="0" applyFont="1" applyBorder="1" applyAlignment="1">
      <alignment wrapText="1"/>
    </xf>
    <xf numFmtId="0" fontId="8" fillId="0" borderId="43" xfId="0" applyFont="1" applyBorder="1" applyAlignment="1">
      <alignment vertical="center" wrapText="1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 wrapText="1"/>
    </xf>
    <xf numFmtId="3" fontId="9" fillId="0" borderId="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0" fontId="9" fillId="0" borderId="7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wrapText="1"/>
    </xf>
    <xf numFmtId="3" fontId="10" fillId="0" borderId="36" xfId="0" applyNumberFormat="1" applyFont="1" applyFill="1" applyBorder="1"/>
    <xf numFmtId="3" fontId="10" fillId="0" borderId="37" xfId="0" applyNumberFormat="1" applyFont="1" applyFill="1" applyBorder="1"/>
    <xf numFmtId="3" fontId="10" fillId="0" borderId="34" xfId="0" applyNumberFormat="1" applyFont="1" applyFill="1" applyBorder="1"/>
    <xf numFmtId="3" fontId="10" fillId="0" borderId="3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8" fillId="0" borderId="43" xfId="0" applyNumberFormat="1" applyFont="1" applyFill="1" applyBorder="1" applyAlignment="1">
      <alignment vertical="center" wrapText="1"/>
    </xf>
    <xf numFmtId="49" fontId="10" fillId="0" borderId="45" xfId="0" applyNumberFormat="1" applyFont="1" applyFill="1" applyBorder="1" applyAlignment="1">
      <alignment wrapText="1"/>
    </xf>
    <xf numFmtId="3" fontId="10" fillId="2" borderId="34" xfId="0" applyNumberFormat="1" applyFont="1" applyFill="1" applyBorder="1"/>
    <xf numFmtId="49" fontId="9" fillId="0" borderId="45" xfId="0" applyNumberFormat="1" applyFont="1" applyFill="1" applyBorder="1" applyAlignment="1">
      <alignment wrapText="1"/>
    </xf>
    <xf numFmtId="0" fontId="9" fillId="0" borderId="45" xfId="1" applyFont="1" applyBorder="1" applyAlignment="1">
      <alignment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Border="1"/>
    <xf numFmtId="0" fontId="9" fillId="0" borderId="45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left" wrapText="1"/>
    </xf>
    <xf numFmtId="49" fontId="10" fillId="0" borderId="45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right" wrapText="1"/>
    </xf>
    <xf numFmtId="49" fontId="9" fillId="0" borderId="45" xfId="0" applyNumberFormat="1" applyFont="1" applyFill="1" applyBorder="1" applyAlignment="1">
      <alignment vertical="center" wrapText="1"/>
    </xf>
    <xf numFmtId="3" fontId="10" fillId="0" borderId="34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/>
    <xf numFmtId="3" fontId="10" fillId="0" borderId="34" xfId="0" applyNumberFormat="1" applyFont="1" applyFill="1" applyBorder="1" applyAlignment="1"/>
    <xf numFmtId="3" fontId="10" fillId="0" borderId="35" xfId="0" applyNumberFormat="1" applyFont="1" applyFill="1" applyBorder="1" applyAlignment="1"/>
    <xf numFmtId="0" fontId="9" fillId="0" borderId="15" xfId="0" applyFont="1" applyFill="1" applyBorder="1" applyAlignment="1"/>
    <xf numFmtId="0" fontId="26" fillId="0" borderId="0" xfId="0" applyFont="1" applyFill="1" applyBorder="1" applyAlignment="1"/>
    <xf numFmtId="0" fontId="9" fillId="0" borderId="0" xfId="0" applyFont="1" applyFill="1" applyBorder="1" applyAlignment="1"/>
    <xf numFmtId="3" fontId="9" fillId="0" borderId="2" xfId="0" applyNumberFormat="1" applyFont="1" applyFill="1" applyBorder="1" applyAlignment="1"/>
    <xf numFmtId="3" fontId="9" fillId="0" borderId="30" xfId="0" applyNumberFormat="1" applyFont="1" applyFill="1" applyBorder="1" applyAlignment="1"/>
    <xf numFmtId="0" fontId="26" fillId="0" borderId="0" xfId="0" applyFont="1" applyFill="1" applyAlignment="1"/>
    <xf numFmtId="3" fontId="9" fillId="0" borderId="4" xfId="0" applyNumberFormat="1" applyFont="1" applyFill="1" applyBorder="1" applyAlignment="1"/>
    <xf numFmtId="3" fontId="9" fillId="0" borderId="27" xfId="0" applyNumberFormat="1" applyFont="1" applyFill="1" applyBorder="1" applyAlignment="1"/>
    <xf numFmtId="0" fontId="10" fillId="0" borderId="45" xfId="0" applyFont="1" applyFill="1" applyBorder="1" applyAlignment="1">
      <alignment wrapText="1"/>
    </xf>
    <xf numFmtId="0" fontId="8" fillId="0" borderId="45" xfId="0" applyFont="1" applyFill="1" applyBorder="1" applyAlignment="1">
      <alignment wrapText="1"/>
    </xf>
    <xf numFmtId="0" fontId="10" fillId="0" borderId="39" xfId="0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0" xfId="0" applyNumberFormat="1" applyFont="1" applyFill="1"/>
    <xf numFmtId="3" fontId="30" fillId="0" borderId="0" xfId="0" applyNumberFormat="1" applyFont="1" applyFill="1" applyBorder="1"/>
    <xf numFmtId="3" fontId="8" fillId="0" borderId="6" xfId="0" applyNumberFormat="1" applyFont="1" applyFill="1" applyBorder="1"/>
    <xf numFmtId="49" fontId="10" fillId="0" borderId="44" xfId="0" applyNumberFormat="1" applyFont="1" applyFill="1" applyBorder="1" applyAlignment="1">
      <alignment wrapText="1"/>
    </xf>
    <xf numFmtId="0" fontId="20" fillId="0" borderId="9" xfId="0" applyFont="1" applyFill="1" applyBorder="1"/>
    <xf numFmtId="0" fontId="20" fillId="0" borderId="15" xfId="0" applyFont="1" applyFill="1" applyBorder="1"/>
    <xf numFmtId="0" fontId="31" fillId="0" borderId="0" xfId="0" applyFont="1" applyFill="1"/>
    <xf numFmtId="0" fontId="20" fillId="0" borderId="0" xfId="0" applyFont="1" applyFill="1"/>
    <xf numFmtId="49" fontId="20" fillId="0" borderId="44" xfId="0" applyNumberFormat="1" applyFont="1" applyFill="1" applyBorder="1" applyAlignment="1">
      <alignment horizontal="right" wrapText="1"/>
    </xf>
    <xf numFmtId="3" fontId="20" fillId="0" borderId="36" xfId="0" applyNumberFormat="1" applyFont="1" applyFill="1" applyBorder="1"/>
    <xf numFmtId="3" fontId="25" fillId="0" borderId="36" xfId="0" applyNumberFormat="1" applyFont="1" applyFill="1" applyBorder="1"/>
    <xf numFmtId="3" fontId="20" fillId="0" borderId="37" xfId="0" applyNumberFormat="1" applyFont="1" applyFill="1" applyBorder="1"/>
    <xf numFmtId="3" fontId="9" fillId="0" borderId="34" xfId="0" applyNumberFormat="1" applyFont="1" applyFill="1" applyBorder="1"/>
    <xf numFmtId="3" fontId="9" fillId="0" borderId="35" xfId="0" applyNumberFormat="1" applyFont="1" applyFill="1" applyBorder="1"/>
    <xf numFmtId="3" fontId="8" fillId="0" borderId="34" xfId="0" applyNumberFormat="1" applyFont="1" applyFill="1" applyBorder="1"/>
    <xf numFmtId="3" fontId="8" fillId="0" borderId="4" xfId="0" applyNumberFormat="1" applyFont="1" applyFill="1" applyBorder="1" applyAlignment="1">
      <alignment vertical="center"/>
    </xf>
    <xf numFmtId="49" fontId="20" fillId="0" borderId="36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32" fillId="0" borderId="34" xfId="0" applyFont="1" applyFill="1" applyBorder="1" applyAlignment="1">
      <alignment horizont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4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36" xfId="0" applyNumberFormat="1" applyFont="1" applyFill="1" applyBorder="1" applyAlignment="1">
      <alignment horizontal="center" wrapText="1"/>
    </xf>
    <xf numFmtId="49" fontId="32" fillId="0" borderId="34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8" fillId="0" borderId="43" xfId="0" applyNumberFormat="1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0" fontId="9" fillId="0" borderId="8" xfId="0" applyFont="1" applyFill="1" applyBorder="1" applyAlignment="1"/>
    <xf numFmtId="3" fontId="8" fillId="0" borderId="32" xfId="0" applyNumberFormat="1" applyFont="1" applyFill="1" applyBorder="1" applyAlignment="1"/>
    <xf numFmtId="3" fontId="8" fillId="0" borderId="33" xfId="0" applyNumberFormat="1" applyFont="1" applyFill="1" applyBorder="1" applyAlignment="1"/>
    <xf numFmtId="0" fontId="9" fillId="0" borderId="17" xfId="0" applyFont="1" applyFill="1" applyBorder="1" applyAlignment="1"/>
    <xf numFmtId="0" fontId="9" fillId="0" borderId="40" xfId="1" applyFont="1" applyBorder="1" applyAlignment="1">
      <alignment horizontal="left" wrapText="1"/>
    </xf>
    <xf numFmtId="0" fontId="9" fillId="0" borderId="7" xfId="1" applyFont="1" applyBorder="1" applyAlignment="1">
      <alignment vertical="center" wrapText="1"/>
    </xf>
    <xf numFmtId="49" fontId="9" fillId="0" borderId="39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right" wrapText="1"/>
    </xf>
    <xf numFmtId="49" fontId="20" fillId="0" borderId="2" xfId="0" applyNumberFormat="1" applyFont="1" applyFill="1" applyBorder="1" applyAlignment="1">
      <alignment horizontal="center" wrapText="1"/>
    </xf>
    <xf numFmtId="3" fontId="20" fillId="0" borderId="2" xfId="0" applyNumberFormat="1" applyFont="1" applyFill="1" applyBorder="1"/>
    <xf numFmtId="3" fontId="20" fillId="0" borderId="30" xfId="0" applyNumberFormat="1" applyFont="1" applyFill="1" applyBorder="1"/>
    <xf numFmtId="0" fontId="20" fillId="0" borderId="9" xfId="0" applyFont="1" applyFill="1" applyBorder="1" applyAlignment="1">
      <alignment vertical="center"/>
    </xf>
    <xf numFmtId="49" fontId="20" fillId="0" borderId="40" xfId="0" applyNumberFormat="1" applyFont="1" applyFill="1" applyBorder="1" applyAlignment="1">
      <alignment horizontal="righ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vertical="center"/>
    </xf>
    <xf numFmtId="3" fontId="20" fillId="0" borderId="30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/>
    <xf numFmtId="0" fontId="20" fillId="0" borderId="18" xfId="0" applyFont="1" applyFill="1" applyBorder="1"/>
    <xf numFmtId="0" fontId="31" fillId="0" borderId="0" xfId="0" applyFont="1" applyFill="1" applyBorder="1"/>
    <xf numFmtId="0" fontId="20" fillId="0" borderId="0" xfId="0" applyFont="1" applyFill="1" applyBorder="1"/>
    <xf numFmtId="0" fontId="20" fillId="0" borderId="44" xfId="0" applyFont="1" applyFill="1" applyBorder="1" applyAlignment="1">
      <alignment horizontal="right" wrapText="1"/>
    </xf>
    <xf numFmtId="0" fontId="20" fillId="0" borderId="36" xfId="0" applyFont="1" applyFill="1" applyBorder="1" applyAlignment="1">
      <alignment horizontal="center" wrapText="1"/>
    </xf>
    <xf numFmtId="3" fontId="33" fillId="0" borderId="36" xfId="0" applyNumberFormat="1" applyFont="1" applyFill="1" applyBorder="1"/>
    <xf numFmtId="3" fontId="33" fillId="0" borderId="37" xfId="0" applyNumberFormat="1" applyFont="1" applyFill="1" applyBorder="1"/>
    <xf numFmtId="0" fontId="20" fillId="0" borderId="46" xfId="0" applyFont="1" applyFill="1" applyBorder="1" applyAlignment="1">
      <alignment horizontal="right" wrapText="1"/>
    </xf>
    <xf numFmtId="0" fontId="20" fillId="0" borderId="41" xfId="0" applyFont="1" applyFill="1" applyBorder="1" applyAlignment="1">
      <alignment horizontal="center" wrapText="1"/>
    </xf>
    <xf numFmtId="3" fontId="33" fillId="0" borderId="41" xfId="0" applyNumberFormat="1" applyFont="1" applyFill="1" applyBorder="1"/>
    <xf numFmtId="3" fontId="33" fillId="0" borderId="42" xfId="0" applyNumberFormat="1" applyFont="1" applyFill="1" applyBorder="1"/>
    <xf numFmtId="0" fontId="14" fillId="0" borderId="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20" fillId="0" borderId="40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3" fontId="33" fillId="0" borderId="2" xfId="0" applyNumberFormat="1" applyFont="1" applyFill="1" applyBorder="1"/>
    <xf numFmtId="3" fontId="33" fillId="0" borderId="30" xfId="0" applyNumberFormat="1" applyFont="1" applyFill="1" applyBorder="1"/>
    <xf numFmtId="0" fontId="9" fillId="0" borderId="7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40" xfId="0" applyFont="1" applyBorder="1"/>
    <xf numFmtId="0" fontId="10" fillId="0" borderId="45" xfId="0" applyFont="1" applyBorder="1"/>
    <xf numFmtId="49" fontId="9" fillId="0" borderId="36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0" xfId="13" applyFont="1" applyBorder="1"/>
    <xf numFmtId="14" fontId="9" fillId="0" borderId="0" xfId="13" applyNumberFormat="1" applyFont="1" applyBorder="1" applyAlignment="1">
      <alignment horizontal="center"/>
    </xf>
    <xf numFmtId="0" fontId="8" fillId="0" borderId="0" xfId="13" applyFont="1" applyFill="1" applyBorder="1" applyAlignment="1">
      <alignment horizontal="center"/>
    </xf>
    <xf numFmtId="0" fontId="9" fillId="0" borderId="0" xfId="13" applyFont="1" applyBorder="1" applyAlignment="1"/>
    <xf numFmtId="0" fontId="9" fillId="0" borderId="0" xfId="13" applyFont="1" applyBorder="1" applyAlignment="1">
      <alignment vertical="center"/>
    </xf>
    <xf numFmtId="0" fontId="9" fillId="0" borderId="0" xfId="13" applyFont="1" applyBorder="1" applyAlignment="1">
      <alignment horizontal="center" vertical="center"/>
    </xf>
    <xf numFmtId="0" fontId="32" fillId="0" borderId="0" xfId="13" applyFont="1" applyBorder="1" applyAlignment="1">
      <alignment horizontal="right" vertical="center"/>
    </xf>
    <xf numFmtId="14" fontId="9" fillId="0" borderId="0" xfId="13" applyNumberFormat="1" applyFont="1" applyBorder="1" applyAlignment="1">
      <alignment horizontal="center" vertical="center"/>
    </xf>
    <xf numFmtId="1" fontId="9" fillId="0" borderId="6" xfId="13" applyNumberFormat="1" applyFont="1" applyBorder="1" applyAlignment="1">
      <alignment horizontal="center" vertical="center" wrapText="1"/>
    </xf>
    <xf numFmtId="1" fontId="9" fillId="0" borderId="3" xfId="13" applyNumberFormat="1" applyFont="1" applyBorder="1" applyAlignment="1">
      <alignment horizontal="center" vertical="center" wrapText="1"/>
    </xf>
    <xf numFmtId="14" fontId="9" fillId="0" borderId="18" xfId="13" applyNumberFormat="1" applyFont="1" applyBorder="1" applyAlignment="1">
      <alignment horizontal="center" vertical="center" wrapText="1"/>
    </xf>
    <xf numFmtId="0" fontId="9" fillId="0" borderId="49" xfId="13" applyFont="1" applyBorder="1" applyAlignment="1">
      <alignment vertical="center"/>
    </xf>
    <xf numFmtId="0" fontId="34" fillId="0" borderId="47" xfId="13" applyFont="1" applyBorder="1" applyAlignment="1">
      <alignment vertical="center"/>
    </xf>
    <xf numFmtId="3" fontId="9" fillId="0" borderId="1" xfId="13" applyNumberFormat="1" applyFont="1" applyBorder="1" applyAlignment="1">
      <alignment vertical="center" wrapText="1"/>
    </xf>
    <xf numFmtId="3" fontId="9" fillId="0" borderId="47" xfId="13" applyNumberFormat="1" applyFont="1" applyFill="1" applyBorder="1" applyAlignment="1">
      <alignment vertical="center" wrapText="1"/>
    </xf>
    <xf numFmtId="3" fontId="9" fillId="0" borderId="1" xfId="13" applyNumberFormat="1" applyFont="1" applyBorder="1" applyAlignment="1">
      <alignment horizontal="right" vertical="center"/>
    </xf>
    <xf numFmtId="3" fontId="9" fillId="0" borderId="47" xfId="13" applyNumberFormat="1" applyFont="1" applyBorder="1" applyAlignment="1">
      <alignment vertical="center" wrapText="1"/>
    </xf>
    <xf numFmtId="14" fontId="23" fillId="0" borderId="48" xfId="13" applyNumberFormat="1" applyFont="1" applyBorder="1" applyAlignment="1">
      <alignment horizontal="right" vertical="center" wrapText="1"/>
    </xf>
    <xf numFmtId="0" fontId="9" fillId="0" borderId="50" xfId="13" applyFont="1" applyBorder="1" applyAlignment="1">
      <alignment vertical="center"/>
    </xf>
    <xf numFmtId="0" fontId="34" fillId="0" borderId="14" xfId="13" applyFont="1" applyFill="1" applyBorder="1" applyAlignment="1">
      <alignment vertical="center"/>
    </xf>
    <xf numFmtId="3" fontId="9" fillId="0" borderId="4" xfId="13" applyNumberFormat="1" applyFont="1" applyBorder="1" applyAlignment="1">
      <alignment vertical="center" wrapText="1"/>
    </xf>
    <xf numFmtId="3" fontId="9" fillId="0" borderId="14" xfId="13" applyNumberFormat="1" applyFont="1" applyFill="1" applyBorder="1" applyAlignment="1">
      <alignment vertical="center" wrapText="1"/>
    </xf>
    <xf numFmtId="3" fontId="9" fillId="0" borderId="4" xfId="13" applyNumberFormat="1" applyFont="1" applyBorder="1" applyAlignment="1">
      <alignment horizontal="right" vertical="center"/>
    </xf>
    <xf numFmtId="14" fontId="23" fillId="0" borderId="51" xfId="13" applyNumberFormat="1" applyFont="1" applyBorder="1" applyAlignment="1">
      <alignment horizontal="right" vertical="center" wrapText="1"/>
    </xf>
    <xf numFmtId="3" fontId="9" fillId="0" borderId="4" xfId="13" applyNumberFormat="1" applyFont="1" applyFill="1" applyBorder="1" applyAlignment="1">
      <alignment vertical="center" wrapText="1"/>
    </xf>
    <xf numFmtId="3" fontId="9" fillId="0" borderId="4" xfId="13" applyNumberFormat="1" applyFont="1" applyFill="1" applyBorder="1" applyAlignment="1">
      <alignment horizontal="right" vertical="center"/>
    </xf>
    <xf numFmtId="14" fontId="23" fillId="0" borderId="51" xfId="13" applyNumberFormat="1" applyFont="1" applyFill="1" applyBorder="1" applyAlignment="1">
      <alignment horizontal="right" vertical="center" wrapText="1"/>
    </xf>
    <xf numFmtId="3" fontId="9" fillId="0" borderId="4" xfId="13" applyNumberFormat="1" applyFont="1" applyFill="1" applyBorder="1" applyAlignment="1">
      <alignment vertical="center"/>
    </xf>
    <xf numFmtId="0" fontId="34" fillId="0" borderId="14" xfId="13" applyFont="1" applyBorder="1" applyAlignment="1">
      <alignment vertical="center"/>
    </xf>
    <xf numFmtId="3" fontId="9" fillId="0" borderId="14" xfId="13" applyNumberFormat="1" applyFont="1" applyBorder="1" applyAlignment="1">
      <alignment vertical="center" wrapText="1"/>
    </xf>
    <xf numFmtId="0" fontId="9" fillId="0" borderId="14" xfId="13" applyFont="1" applyFill="1" applyBorder="1" applyAlignment="1">
      <alignment vertical="center" wrapText="1"/>
    </xf>
    <xf numFmtId="0" fontId="21" fillId="0" borderId="14" xfId="13" applyFont="1" applyFill="1" applyBorder="1" applyAlignment="1">
      <alignment vertical="center" wrapText="1"/>
    </xf>
    <xf numFmtId="166" fontId="23" fillId="0" borderId="0" xfId="13" applyNumberFormat="1" applyFont="1" applyFill="1" applyBorder="1" applyAlignment="1">
      <alignment vertical="center" wrapText="1"/>
    </xf>
    <xf numFmtId="14" fontId="9" fillId="0" borderId="51" xfId="13" applyNumberFormat="1" applyFont="1" applyBorder="1" applyAlignment="1">
      <alignment horizontal="center" vertical="center" wrapText="1"/>
    </xf>
    <xf numFmtId="0" fontId="9" fillId="0" borderId="14" xfId="13" applyFont="1" applyBorder="1" applyAlignment="1">
      <alignment vertical="center" wrapText="1"/>
    </xf>
    <xf numFmtId="14" fontId="23" fillId="0" borderId="51" xfId="13" applyNumberFormat="1" applyFont="1" applyBorder="1" applyAlignment="1">
      <alignment horizontal="center" vertical="center" wrapText="1"/>
    </xf>
    <xf numFmtId="0" fontId="9" fillId="0" borderId="52" xfId="13" applyFont="1" applyBorder="1" applyAlignment="1">
      <alignment vertical="center"/>
    </xf>
    <xf numFmtId="0" fontId="9" fillId="0" borderId="20" xfId="13" applyFont="1" applyBorder="1" applyAlignment="1">
      <alignment vertical="center" wrapText="1"/>
    </xf>
    <xf numFmtId="3" fontId="9" fillId="0" borderId="34" xfId="13" applyNumberFormat="1" applyFont="1" applyBorder="1" applyAlignment="1">
      <alignment vertical="center"/>
    </xf>
    <xf numFmtId="3" fontId="9" fillId="0" borderId="20" xfId="13" applyNumberFormat="1" applyFont="1" applyBorder="1" applyAlignment="1">
      <alignment vertical="center" wrapText="1"/>
    </xf>
    <xf numFmtId="3" fontId="9" fillId="0" borderId="34" xfId="13" applyNumberFormat="1" applyFont="1" applyBorder="1" applyAlignment="1">
      <alignment horizontal="right" vertical="center"/>
    </xf>
    <xf numFmtId="14" fontId="9" fillId="0" borderId="53" xfId="13" applyNumberFormat="1" applyFont="1" applyBorder="1" applyAlignment="1">
      <alignment horizontal="center" vertical="center" wrapText="1"/>
    </xf>
    <xf numFmtId="0" fontId="9" fillId="0" borderId="5" xfId="13" applyFont="1" applyBorder="1" applyAlignment="1">
      <alignment vertical="center"/>
    </xf>
    <xf numFmtId="0" fontId="8" fillId="0" borderId="11" xfId="13" applyFont="1" applyBorder="1" applyAlignment="1">
      <alignment vertical="center" wrapText="1"/>
    </xf>
    <xf numFmtId="3" fontId="9" fillId="0" borderId="22" xfId="13" applyNumberFormat="1" applyFont="1" applyBorder="1" applyAlignment="1">
      <alignment horizontal="center" vertical="center" wrapText="1"/>
    </xf>
    <xf numFmtId="3" fontId="8" fillId="0" borderId="11" xfId="13" applyNumberFormat="1" applyFont="1" applyBorder="1" applyAlignment="1">
      <alignment vertical="center" wrapText="1"/>
    </xf>
    <xf numFmtId="3" fontId="8" fillId="0" borderId="22" xfId="13" applyNumberFormat="1" applyFont="1" applyBorder="1" applyAlignment="1">
      <alignment vertical="center" wrapText="1"/>
    </xf>
    <xf numFmtId="14" fontId="8" fillId="0" borderId="12" xfId="13" applyNumberFormat="1" applyFont="1" applyBorder="1" applyAlignment="1">
      <alignment horizontal="center" vertical="center" wrapText="1"/>
    </xf>
    <xf numFmtId="0" fontId="9" fillId="0" borderId="9" xfId="13" applyFont="1" applyBorder="1" applyAlignment="1">
      <alignment vertical="center"/>
    </xf>
    <xf numFmtId="3" fontId="9" fillId="0" borderId="36" xfId="13" applyNumberFormat="1" applyFont="1" applyBorder="1" applyAlignment="1">
      <alignment vertical="center"/>
    </xf>
    <xf numFmtId="3" fontId="9" fillId="0" borderId="0" xfId="13" applyNumberFormat="1" applyFont="1" applyBorder="1" applyAlignment="1">
      <alignment vertical="center"/>
    </xf>
    <xf numFmtId="14" fontId="9" fillId="0" borderId="15" xfId="13" applyNumberFormat="1" applyFont="1" applyBorder="1" applyAlignment="1">
      <alignment horizontal="center" vertical="center"/>
    </xf>
    <xf numFmtId="0" fontId="9" fillId="0" borderId="10" xfId="13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3" fontId="9" fillId="0" borderId="41" xfId="13" applyNumberFormat="1" applyFont="1" applyBorder="1" applyAlignment="1">
      <alignment vertical="center"/>
    </xf>
    <xf numFmtId="3" fontId="9" fillId="0" borderId="3" xfId="13" applyNumberFormat="1" applyFont="1" applyBorder="1" applyAlignment="1">
      <alignment vertical="center"/>
    </xf>
    <xf numFmtId="14" fontId="9" fillId="0" borderId="18" xfId="13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 wrapText="1"/>
    </xf>
    <xf numFmtId="0" fontId="9" fillId="0" borderId="39" xfId="0" applyFont="1" applyBorder="1" applyAlignment="1">
      <alignment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7" fillId="0" borderId="0" xfId="13" applyFont="1" applyFill="1" applyBorder="1" applyAlignment="1">
      <alignment horizontal="center"/>
    </xf>
    <xf numFmtId="0" fontId="16" fillId="0" borderId="0" xfId="13" applyFont="1" applyFill="1" applyBorder="1" applyAlignment="1">
      <alignment horizontal="center"/>
    </xf>
    <xf numFmtId="0" fontId="17" fillId="0" borderId="0" xfId="13" applyFont="1" applyBorder="1" applyAlignment="1"/>
    <xf numFmtId="1" fontId="9" fillId="0" borderId="8" xfId="13" applyNumberFormat="1" applyFont="1" applyBorder="1" applyAlignment="1">
      <alignment horizontal="center" vertical="center"/>
    </xf>
    <xf numFmtId="1" fontId="9" fillId="0" borderId="43" xfId="13" applyNumberFormat="1" applyFont="1" applyBorder="1" applyAlignment="1">
      <alignment horizontal="center" vertical="center"/>
    </xf>
    <xf numFmtId="1" fontId="9" fillId="0" borderId="10" xfId="13" applyNumberFormat="1" applyFont="1" applyBorder="1" applyAlignment="1">
      <alignment horizontal="center" vertical="center"/>
    </xf>
    <xf numFmtId="1" fontId="9" fillId="0" borderId="3" xfId="13" applyNumberFormat="1" applyFont="1" applyBorder="1" applyAlignment="1">
      <alignment horizontal="center" vertical="center"/>
    </xf>
    <xf numFmtId="0" fontId="9" fillId="0" borderId="26" xfId="13" applyFont="1" applyBorder="1" applyAlignment="1">
      <alignment horizontal="center" vertical="center"/>
    </xf>
    <xf numFmtId="0" fontId="9" fillId="0" borderId="47" xfId="13" applyFont="1" applyBorder="1" applyAlignment="1">
      <alignment horizontal="center" vertical="center"/>
    </xf>
    <xf numFmtId="0" fontId="9" fillId="0" borderId="48" xfId="13" applyFont="1" applyBorder="1" applyAlignment="1">
      <alignment horizontal="center" vertical="center"/>
    </xf>
  </cellXfs>
  <cellStyles count="373">
    <cellStyle name="20% - Accent1 2" xfId="27"/>
    <cellStyle name="20% - Accent1 2 2" xfId="28"/>
    <cellStyle name="20% - Accent1 2 3" xfId="29"/>
    <cellStyle name="20% - Accent1 2 4" xfId="30"/>
    <cellStyle name="20% - Accent1 2 5" xfId="31"/>
    <cellStyle name="20% - Accent1 2 6" xfId="32"/>
    <cellStyle name="20% - Accent1 3" xfId="33"/>
    <cellStyle name="20% - Accent1 3 2" xfId="34"/>
    <cellStyle name="20% - Accent1 3 3" xfId="35"/>
    <cellStyle name="20% - Accent1 3 4" xfId="36"/>
    <cellStyle name="20% - Accent1 3 5" xfId="37"/>
    <cellStyle name="20% - Accent1 3 6" xfId="38"/>
    <cellStyle name="20% - Accent2 2" xfId="39"/>
    <cellStyle name="20% - Accent2 2 2" xfId="40"/>
    <cellStyle name="20% - Accent2 2 3" xfId="41"/>
    <cellStyle name="20% - Accent2 2 4" xfId="42"/>
    <cellStyle name="20% - Accent2 2 5" xfId="43"/>
    <cellStyle name="20% - Accent2 2 6" xfId="44"/>
    <cellStyle name="20% - Accent2 3" xfId="45"/>
    <cellStyle name="20% - Accent2 3 2" xfId="46"/>
    <cellStyle name="20% - Accent2 3 3" xfId="47"/>
    <cellStyle name="20% - Accent2 3 4" xfId="48"/>
    <cellStyle name="20% - Accent2 3 5" xfId="49"/>
    <cellStyle name="20% - Accent2 3 6" xfId="50"/>
    <cellStyle name="20% - Accent3 2" xfId="51"/>
    <cellStyle name="20% - Accent3 2 2" xfId="52"/>
    <cellStyle name="20% - Accent3 2 3" xfId="53"/>
    <cellStyle name="20% - Accent3 2 4" xfId="54"/>
    <cellStyle name="20% - Accent3 2 5" xfId="55"/>
    <cellStyle name="20% - Accent3 2 6" xfId="56"/>
    <cellStyle name="20% - Accent3 3" xfId="57"/>
    <cellStyle name="20% - Accent3 3 2" xfId="58"/>
    <cellStyle name="20% - Accent3 3 3" xfId="59"/>
    <cellStyle name="20% - Accent3 3 4" xfId="60"/>
    <cellStyle name="20% - Accent3 3 5" xfId="61"/>
    <cellStyle name="20% - Accent3 3 6" xfId="62"/>
    <cellStyle name="20% - Accent4 2" xfId="63"/>
    <cellStyle name="20% - Accent4 2 2" xfId="64"/>
    <cellStyle name="20% - Accent4 2 3" xfId="65"/>
    <cellStyle name="20% - Accent4 2 4" xfId="66"/>
    <cellStyle name="20% - Accent4 2 5" xfId="67"/>
    <cellStyle name="20% - Accent4 2 6" xfId="68"/>
    <cellStyle name="20% - Accent4 3" xfId="69"/>
    <cellStyle name="20% - Accent4 3 2" xfId="70"/>
    <cellStyle name="20% - Accent4 3 3" xfId="71"/>
    <cellStyle name="20% - Accent4 3 4" xfId="72"/>
    <cellStyle name="20% - Accent4 3 5" xfId="73"/>
    <cellStyle name="20% - Accent4 3 6" xfId="74"/>
    <cellStyle name="20% - Accent5 2" xfId="75"/>
    <cellStyle name="20% - Accent5 2 2" xfId="76"/>
    <cellStyle name="20% - Accent5 2 3" xfId="77"/>
    <cellStyle name="20% - Accent5 2 4" xfId="78"/>
    <cellStyle name="20% - Accent5 2 5" xfId="79"/>
    <cellStyle name="20% - Accent5 2 6" xfId="80"/>
    <cellStyle name="20% - Accent5 3" xfId="81"/>
    <cellStyle name="20% - Accent5 3 2" xfId="82"/>
    <cellStyle name="20% - Accent5 3 3" xfId="83"/>
    <cellStyle name="20% - Accent5 3 4" xfId="84"/>
    <cellStyle name="20% - Accent5 3 5" xfId="85"/>
    <cellStyle name="20% - Accent5 3 6" xfId="86"/>
    <cellStyle name="20% - Accent6 2" xfId="87"/>
    <cellStyle name="20% - Accent6 2 2" xfId="88"/>
    <cellStyle name="20% - Accent6 2 3" xfId="89"/>
    <cellStyle name="20% - Accent6 2 4" xfId="90"/>
    <cellStyle name="20% - Accent6 2 5" xfId="91"/>
    <cellStyle name="20% - Accent6 2 6" xfId="92"/>
    <cellStyle name="20% - Accent6 3" xfId="93"/>
    <cellStyle name="20% - Accent6 3 2" xfId="94"/>
    <cellStyle name="20% - Accent6 3 3" xfId="95"/>
    <cellStyle name="20% - Accent6 3 4" xfId="96"/>
    <cellStyle name="20% - Accent6 3 5" xfId="97"/>
    <cellStyle name="20% - Accent6 3 6" xfId="98"/>
    <cellStyle name="20% - Акцент1" xfId="99"/>
    <cellStyle name="20% - Акцент1 2" xfId="100"/>
    <cellStyle name="20% - Акцент1 3" xfId="101"/>
    <cellStyle name="20% - Акцент1 4" xfId="102"/>
    <cellStyle name="20% - Акцент1 5" xfId="103"/>
    <cellStyle name="20% - Акцент1 6" xfId="104"/>
    <cellStyle name="20% - Акцент2" xfId="105"/>
    <cellStyle name="20% - Акцент2 2" xfId="106"/>
    <cellStyle name="20% - Акцент2 3" xfId="107"/>
    <cellStyle name="20% - Акцент2 4" xfId="108"/>
    <cellStyle name="20% - Акцент2 5" xfId="109"/>
    <cellStyle name="20% - Акцент2 6" xfId="110"/>
    <cellStyle name="20% - Акцент3" xfId="111"/>
    <cellStyle name="20% - Акцент3 2" xfId="112"/>
    <cellStyle name="20% - Акцент3 3" xfId="113"/>
    <cellStyle name="20% - Акцент3 4" xfId="114"/>
    <cellStyle name="20% - Акцент3 5" xfId="115"/>
    <cellStyle name="20% - Акцент3 6" xfId="116"/>
    <cellStyle name="20% - Акцент4" xfId="117"/>
    <cellStyle name="20% - Акцент4 2" xfId="118"/>
    <cellStyle name="20% - Акцент4 3" xfId="119"/>
    <cellStyle name="20% - Акцент4 4" xfId="120"/>
    <cellStyle name="20% - Акцент4 5" xfId="121"/>
    <cellStyle name="20% - Акцент4 6" xfId="122"/>
    <cellStyle name="20% - Акцент5" xfId="123"/>
    <cellStyle name="20% - Акцент5 2" xfId="124"/>
    <cellStyle name="20% - Акцент5 3" xfId="125"/>
    <cellStyle name="20% - Акцент5 4" xfId="126"/>
    <cellStyle name="20% - Акцент5 5" xfId="127"/>
    <cellStyle name="20% - Акцент5 6" xfId="128"/>
    <cellStyle name="20% - Акцент6" xfId="129"/>
    <cellStyle name="20% - Акцент6 2" xfId="130"/>
    <cellStyle name="20% - Акцент6 3" xfId="131"/>
    <cellStyle name="20% - Акцент6 4" xfId="132"/>
    <cellStyle name="20% - Акцент6 5" xfId="133"/>
    <cellStyle name="20% - Акцент6 6" xfId="134"/>
    <cellStyle name="40% - Accent1 2" xfId="135"/>
    <cellStyle name="40% - Accent1 2 2" xfId="136"/>
    <cellStyle name="40% - Accent1 2 3" xfId="137"/>
    <cellStyle name="40% - Accent1 2 4" xfId="138"/>
    <cellStyle name="40% - Accent1 2 5" xfId="139"/>
    <cellStyle name="40% - Accent1 2 6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2 2" xfId="147"/>
    <cellStyle name="40% - Accent2 2 2" xfId="148"/>
    <cellStyle name="40% - Accent2 2 3" xfId="149"/>
    <cellStyle name="40% - Accent2 2 4" xfId="150"/>
    <cellStyle name="40% - Accent2 2 5" xfId="151"/>
    <cellStyle name="40% - Accent2 2 6" xfId="152"/>
    <cellStyle name="40% - Accent2 3" xfId="153"/>
    <cellStyle name="40% - Accent2 3 2" xfId="154"/>
    <cellStyle name="40% - Accent2 3 3" xfId="155"/>
    <cellStyle name="40% - Accent2 3 4" xfId="156"/>
    <cellStyle name="40% - Accent2 3 5" xfId="157"/>
    <cellStyle name="40% - Accent2 3 6" xfId="158"/>
    <cellStyle name="40% - Accent3 2" xfId="159"/>
    <cellStyle name="40% - Accent3 2 2" xfId="160"/>
    <cellStyle name="40% - Accent3 2 3" xfId="161"/>
    <cellStyle name="40% - Accent3 2 4" xfId="162"/>
    <cellStyle name="40% - Accent3 2 5" xfId="163"/>
    <cellStyle name="40% - Accent3 2 6" xfId="164"/>
    <cellStyle name="40% - Accent3 3" xfId="165"/>
    <cellStyle name="40% - Accent3 3 2" xfId="166"/>
    <cellStyle name="40% - Accent3 3 3" xfId="167"/>
    <cellStyle name="40% - Accent3 3 4" xfId="168"/>
    <cellStyle name="40% - Accent3 3 5" xfId="169"/>
    <cellStyle name="40% - Accent3 3 6" xfId="170"/>
    <cellStyle name="40% - Accent4 2" xfId="171"/>
    <cellStyle name="40% - Accent4 2 2" xfId="172"/>
    <cellStyle name="40% - Accent4 2 3" xfId="173"/>
    <cellStyle name="40% - Accent4 2 4" xfId="174"/>
    <cellStyle name="40% - Accent4 2 5" xfId="175"/>
    <cellStyle name="40% - Accent4 2 6" xfId="176"/>
    <cellStyle name="40% - Accent4 3" xfId="177"/>
    <cellStyle name="40% - Accent4 3 2" xfId="178"/>
    <cellStyle name="40% - Accent4 3 3" xfId="179"/>
    <cellStyle name="40% - Accent4 3 4" xfId="180"/>
    <cellStyle name="40% - Accent4 3 5" xfId="181"/>
    <cellStyle name="40% - Accent4 3 6" xfId="182"/>
    <cellStyle name="40% - Accent5 2" xfId="183"/>
    <cellStyle name="40% - Accent5 2 2" xfId="184"/>
    <cellStyle name="40% - Accent5 2 3" xfId="185"/>
    <cellStyle name="40% - Accent5 2 4" xfId="186"/>
    <cellStyle name="40% - Accent5 2 5" xfId="187"/>
    <cellStyle name="40% - Accent5 2 6" xfId="188"/>
    <cellStyle name="40% - Accent5 3" xfId="189"/>
    <cellStyle name="40% - Accent5 3 2" xfId="190"/>
    <cellStyle name="40% - Accent5 3 3" xfId="191"/>
    <cellStyle name="40% - Accent5 3 4" xfId="192"/>
    <cellStyle name="40% - Accent5 3 5" xfId="193"/>
    <cellStyle name="40% - Accent5 3 6" xfId="194"/>
    <cellStyle name="40% - Accent6 2" xfId="195"/>
    <cellStyle name="40% - Accent6 2 2" xfId="196"/>
    <cellStyle name="40% - Accent6 2 3" xfId="197"/>
    <cellStyle name="40% - Accent6 2 4" xfId="198"/>
    <cellStyle name="40% - Accent6 2 5" xfId="199"/>
    <cellStyle name="40% - Accent6 2 6" xfId="200"/>
    <cellStyle name="40% - Accent6 3" xfId="201"/>
    <cellStyle name="40% - Accent6 3 2" xfId="202"/>
    <cellStyle name="40% - Accent6 3 3" xfId="203"/>
    <cellStyle name="40% - Accent6 3 4" xfId="204"/>
    <cellStyle name="40% - Accent6 3 5" xfId="205"/>
    <cellStyle name="40% - Accent6 3 6" xfId="206"/>
    <cellStyle name="40% - Акцент1" xfId="207"/>
    <cellStyle name="40% - Акцент1 2" xfId="208"/>
    <cellStyle name="40% - Акцент1 3" xfId="209"/>
    <cellStyle name="40% - Акцент1 4" xfId="210"/>
    <cellStyle name="40% - Акцент1 5" xfId="211"/>
    <cellStyle name="40% - Акцент1 6" xfId="212"/>
    <cellStyle name="40% - Акцент2" xfId="213"/>
    <cellStyle name="40% - Акцент2 2" xfId="214"/>
    <cellStyle name="40% - Акцент2 3" xfId="215"/>
    <cellStyle name="40% - Акцент2 4" xfId="216"/>
    <cellStyle name="40% - Акцент2 5" xfId="217"/>
    <cellStyle name="40% - Акцент2 6" xfId="218"/>
    <cellStyle name="40% - Акцент3" xfId="219"/>
    <cellStyle name="40% - Акцент3 2" xfId="220"/>
    <cellStyle name="40% - Акцент3 3" xfId="221"/>
    <cellStyle name="40% - Акцент3 4" xfId="222"/>
    <cellStyle name="40% - Акцент3 5" xfId="223"/>
    <cellStyle name="40% - Акцент3 6" xfId="224"/>
    <cellStyle name="40% - Акцент4" xfId="225"/>
    <cellStyle name="40% - Акцент4 2" xfId="226"/>
    <cellStyle name="40% - Акцент4 3" xfId="227"/>
    <cellStyle name="40% - Акцент4 4" xfId="228"/>
    <cellStyle name="40% - Акцент4 5" xfId="229"/>
    <cellStyle name="40% - Акцент4 6" xfId="230"/>
    <cellStyle name="40% - Акцент5" xfId="231"/>
    <cellStyle name="40% - Акцент5 2" xfId="232"/>
    <cellStyle name="40% - Акцент5 3" xfId="233"/>
    <cellStyle name="40% - Акцент5 4" xfId="234"/>
    <cellStyle name="40% - Акцент5 5" xfId="235"/>
    <cellStyle name="40% - Акцент5 6" xfId="236"/>
    <cellStyle name="40% - Акцент6" xfId="237"/>
    <cellStyle name="40% - Акцент6 2" xfId="238"/>
    <cellStyle name="40% - Акцент6 3" xfId="239"/>
    <cellStyle name="40% - Акцент6 4" xfId="240"/>
    <cellStyle name="40% - Акцент6 5" xfId="241"/>
    <cellStyle name="40% - Акцент6 6" xfId="242"/>
    <cellStyle name="60% - Accent1 2" xfId="243"/>
    <cellStyle name="60% - Accent1 3" xfId="244"/>
    <cellStyle name="60% - Accent2 2" xfId="245"/>
    <cellStyle name="60% - Accent2 3" xfId="246"/>
    <cellStyle name="60% - Accent3 2" xfId="247"/>
    <cellStyle name="60% - Accent3 3" xfId="248"/>
    <cellStyle name="60% - Accent4 2" xfId="249"/>
    <cellStyle name="60% - Accent4 3" xfId="250"/>
    <cellStyle name="60% - Accent5 2" xfId="251"/>
    <cellStyle name="60% - Accent5 3" xfId="252"/>
    <cellStyle name="60% - Accent6 2" xfId="253"/>
    <cellStyle name="60% - Accent6 3" xfId="254"/>
    <cellStyle name="60% - Акцент1" xfId="255"/>
    <cellStyle name="60% - Акцент2" xfId="256"/>
    <cellStyle name="60% - Акцент3" xfId="257"/>
    <cellStyle name="60% - Акцент4" xfId="258"/>
    <cellStyle name="60% - Акцент5" xfId="259"/>
    <cellStyle name="60% - Акцент6" xfId="260"/>
    <cellStyle name="Accent1 2" xfId="261"/>
    <cellStyle name="Accent1 3" xfId="262"/>
    <cellStyle name="Accent2 2" xfId="263"/>
    <cellStyle name="Accent2 3" xfId="264"/>
    <cellStyle name="Accent3 2" xfId="265"/>
    <cellStyle name="Accent3 3" xfId="266"/>
    <cellStyle name="Accent4 2" xfId="267"/>
    <cellStyle name="Accent4 3" xfId="268"/>
    <cellStyle name="Accent5 2" xfId="269"/>
    <cellStyle name="Accent5 3" xfId="270"/>
    <cellStyle name="Accent6 2" xfId="271"/>
    <cellStyle name="Accent6 3" xfId="272"/>
    <cellStyle name="Bad 2" xfId="273"/>
    <cellStyle name="Bad 3" xfId="274"/>
    <cellStyle name="Calculation 2" xfId="275"/>
    <cellStyle name="Calculation 3" xfId="276"/>
    <cellStyle name="Check Cell 2" xfId="277"/>
    <cellStyle name="Check Cell 3" xfId="278"/>
    <cellStyle name="Comma 2" xfId="8"/>
    <cellStyle name="Comma 2 2" xfId="279"/>
    <cellStyle name="Comma 2 2 2" xfId="280"/>
    <cellStyle name="Comma 2 3" xfId="281"/>
    <cellStyle name="Comma 2 4" xfId="282"/>
    <cellStyle name="Comma 2 5" xfId="283"/>
    <cellStyle name="Comma 2 6" xfId="284"/>
    <cellStyle name="Comma 3" xfId="3"/>
    <cellStyle name="Comma 3 2" xfId="285"/>
    <cellStyle name="Explanatory Text 2" xfId="286"/>
    <cellStyle name="Explanatory Text 3" xfId="287"/>
    <cellStyle name="Good 2" xfId="288"/>
    <cellStyle name="Good 3" xfId="289"/>
    <cellStyle name="Heading 1 2" xfId="290"/>
    <cellStyle name="Heading 1 3" xfId="291"/>
    <cellStyle name="Heading 2 2" xfId="292"/>
    <cellStyle name="Heading 2 3" xfId="293"/>
    <cellStyle name="Heading 3 2" xfId="294"/>
    <cellStyle name="Heading 3 3" xfId="295"/>
    <cellStyle name="Heading 4 2" xfId="296"/>
    <cellStyle name="Heading 4 3" xfId="297"/>
    <cellStyle name="Hoiatustekst" xfId="298"/>
    <cellStyle name="Input 2" xfId="299"/>
    <cellStyle name="Input 3" xfId="300"/>
    <cellStyle name="Linked Cell 2" xfId="301"/>
    <cellStyle name="Linked Cell 3" xfId="302"/>
    <cellStyle name="Neutral 2" xfId="303"/>
    <cellStyle name="Neutral 3" xfId="304"/>
    <cellStyle name="Normaallaad 2" xfId="13"/>
    <cellStyle name="Normaallaad 3" xfId="369"/>
    <cellStyle name="Normaallaad 4" xfId="370"/>
    <cellStyle name="Normaallaad 5" xfId="371"/>
    <cellStyle name="Normaallaad 6" xfId="372"/>
    <cellStyle name="Normaallaad_Leht1" xfId="1"/>
    <cellStyle name="Normal" xfId="0" builtinId="0"/>
    <cellStyle name="Normal 2" xfId="7"/>
    <cellStyle name="Normal 2 10" xfId="305"/>
    <cellStyle name="Normal 2 11" xfId="306"/>
    <cellStyle name="Normal 2 2" xfId="12"/>
    <cellStyle name="Normal 2 2 2" xfId="16"/>
    <cellStyle name="Normal 2 2 2 2" xfId="23"/>
    <cellStyle name="Normal 2 2 3" xfId="20"/>
    <cellStyle name="Normal 2 2 4" xfId="307"/>
    <cellStyle name="Normal 2 3" xfId="10"/>
    <cellStyle name="Normal 2 3 2" xfId="18"/>
    <cellStyle name="Normal 2 3 3" xfId="308"/>
    <cellStyle name="Normal 2 4" xfId="14"/>
    <cellStyle name="Normal 2 4 2" xfId="21"/>
    <cellStyle name="Normal 2 4 3" xfId="309"/>
    <cellStyle name="Normal 2 5" xfId="310"/>
    <cellStyle name="Normal 2 6" xfId="311"/>
    <cellStyle name="Normal 2 7" xfId="312"/>
    <cellStyle name="Normal 2 8" xfId="313"/>
    <cellStyle name="Normal 2 9" xfId="314"/>
    <cellStyle name="Normal 21" xfId="5"/>
    <cellStyle name="Normal 3" xfId="6"/>
    <cellStyle name="Normal 3 2" xfId="11"/>
    <cellStyle name="Normal 3 2 2" xfId="19"/>
    <cellStyle name="Normal 3 2 3" xfId="315"/>
    <cellStyle name="Normal 3 3" xfId="15"/>
    <cellStyle name="Normal 3 3 2" xfId="22"/>
    <cellStyle name="Normal 3 3 3" xfId="316"/>
    <cellStyle name="Normal 3 4" xfId="17"/>
    <cellStyle name="Normal 3 4 2" xfId="317"/>
    <cellStyle name="Normal 4" xfId="24"/>
    <cellStyle name="Normal 4 2" xfId="318"/>
    <cellStyle name="Normal 4 3" xfId="319"/>
    <cellStyle name="Normal 4 4" xfId="320"/>
    <cellStyle name="Normal 5" xfId="25"/>
    <cellStyle name="Normal 6" xfId="26"/>
    <cellStyle name="Normal 6 2" xfId="321"/>
    <cellStyle name="Normal 6 3" xfId="322"/>
    <cellStyle name="Normal 6 4" xfId="323"/>
    <cellStyle name="Normal 7" xfId="2"/>
    <cellStyle name="Normal 8" xfId="324"/>
    <cellStyle name="Note 2" xfId="325"/>
    <cellStyle name="Note 3" xfId="326"/>
    <cellStyle name="Output 2" xfId="327"/>
    <cellStyle name="Output 3" xfId="328"/>
    <cellStyle name="Percent 2" xfId="9"/>
    <cellStyle name="Percent 2 2" xfId="329"/>
    <cellStyle name="Percent 2 3" xfId="330"/>
    <cellStyle name="Percent 2 4" xfId="331"/>
    <cellStyle name="Percent 2 5" xfId="332"/>
    <cellStyle name="Percent 2 6" xfId="333"/>
    <cellStyle name="Percent 3" xfId="4"/>
    <cellStyle name="Percent 3 2" xfId="334"/>
    <cellStyle name="Percent 3 3" xfId="335"/>
    <cellStyle name="Percent 3 4" xfId="336"/>
    <cellStyle name="Percent 4 2" xfId="337"/>
    <cellStyle name="Percent 4 3" xfId="338"/>
    <cellStyle name="Percent 4 4" xfId="339"/>
    <cellStyle name="Title 2" xfId="340"/>
    <cellStyle name="Title 3" xfId="341"/>
    <cellStyle name="Total 2" xfId="342"/>
    <cellStyle name="Total 3" xfId="343"/>
    <cellStyle name="Warning Text 2" xfId="344"/>
    <cellStyle name="Warning Text 3" xfId="345"/>
    <cellStyle name="Акцент1" xfId="346"/>
    <cellStyle name="Акцент2" xfId="347"/>
    <cellStyle name="Акцент3" xfId="348"/>
    <cellStyle name="Акцент4" xfId="349"/>
    <cellStyle name="Акцент5" xfId="350"/>
    <cellStyle name="Акцент6" xfId="351"/>
    <cellStyle name="Ввод " xfId="352"/>
    <cellStyle name="Вывод" xfId="353"/>
    <cellStyle name="Вычисление" xfId="354"/>
    <cellStyle name="Заголовок 1" xfId="355"/>
    <cellStyle name="Заголовок 2" xfId="356"/>
    <cellStyle name="Заголовок 3" xfId="357"/>
    <cellStyle name="Заголовок 4" xfId="358"/>
    <cellStyle name="Итог" xfId="359"/>
    <cellStyle name="Контрольная ячейка" xfId="360"/>
    <cellStyle name="Название" xfId="361"/>
    <cellStyle name="Нейтральный" xfId="362"/>
    <cellStyle name="Плохой" xfId="363"/>
    <cellStyle name="Пояснение" xfId="364"/>
    <cellStyle name="Примечание" xfId="365"/>
    <cellStyle name="Связанная ячейка" xfId="366"/>
    <cellStyle name="Текст предупреждения" xfId="367"/>
    <cellStyle name="Хороший" xfId="368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workbookViewId="0">
      <selection activeCell="I9" sqref="I9"/>
    </sheetView>
  </sheetViews>
  <sheetFormatPr defaultRowHeight="15"/>
  <cols>
    <col min="1" max="1" width="0.85546875" style="1" customWidth="1"/>
    <col min="2" max="2" width="48" style="1" customWidth="1"/>
    <col min="3" max="3" width="14.7109375" style="1" customWidth="1"/>
    <col min="4" max="4" width="0.7109375" style="1" customWidth="1"/>
    <col min="5" max="16384" width="9.140625" style="1"/>
  </cols>
  <sheetData>
    <row r="1" spans="1:4" ht="18.75" customHeight="1">
      <c r="B1" s="367" t="s">
        <v>354</v>
      </c>
      <c r="C1" s="368"/>
      <c r="D1" s="18"/>
    </row>
    <row r="2" spans="1:4">
      <c r="B2" s="19"/>
      <c r="C2" s="47" t="s">
        <v>26</v>
      </c>
      <c r="D2" s="23"/>
    </row>
    <row r="3" spans="1:4" s="16" customFormat="1" ht="23.25" customHeight="1">
      <c r="A3" s="27"/>
      <c r="B3" s="28" t="s">
        <v>18</v>
      </c>
      <c r="C3" s="37">
        <f>SUM(C4:C7)</f>
        <v>121388486</v>
      </c>
      <c r="D3" s="30"/>
    </row>
    <row r="4" spans="1:4" ht="15.75" customHeight="1">
      <c r="A4" s="20"/>
      <c r="B4" s="24" t="s">
        <v>0</v>
      </c>
      <c r="C4" s="38">
        <f>'lisa 2 (Tulubaas)'!C4</f>
        <v>65950000</v>
      </c>
      <c r="D4" s="26"/>
    </row>
    <row r="5" spans="1:4" ht="15.75" customHeight="1">
      <c r="A5" s="20"/>
      <c r="B5" s="25" t="s">
        <v>1</v>
      </c>
      <c r="C5" s="39">
        <f>'lisa 2 (Tulubaas)'!C10</f>
        <v>17072153</v>
      </c>
      <c r="D5" s="26"/>
    </row>
    <row r="6" spans="1:4" ht="15.75" customHeight="1">
      <c r="A6" s="20"/>
      <c r="B6" s="25" t="s">
        <v>355</v>
      </c>
      <c r="C6" s="39">
        <f>'lisa 2 (Tulubaas)'!C22</f>
        <v>35921120</v>
      </c>
      <c r="D6" s="26"/>
    </row>
    <row r="7" spans="1:4" s="31" customFormat="1" ht="16.5" customHeight="1">
      <c r="A7" s="32"/>
      <c r="B7" s="36" t="s">
        <v>19</v>
      </c>
      <c r="C7" s="40">
        <f>'lisa 2 (Tulubaas)'!C25</f>
        <v>2445213</v>
      </c>
      <c r="D7" s="42"/>
    </row>
    <row r="8" spans="1:4" s="16" customFormat="1" ht="23.25" customHeight="1">
      <c r="A8" s="27"/>
      <c r="B8" s="28" t="s">
        <v>20</v>
      </c>
      <c r="C8" s="37">
        <f>SUM(C9:C17)</f>
        <v>112163395</v>
      </c>
      <c r="D8" s="30"/>
    </row>
    <row r="9" spans="1:4" ht="15.75" customHeight="1">
      <c r="A9" s="20"/>
      <c r="B9" s="24" t="s">
        <v>2</v>
      </c>
      <c r="C9" s="38">
        <f>'lisa3 (põhitegevus)'!C5</f>
        <v>8854748</v>
      </c>
      <c r="D9" s="26"/>
    </row>
    <row r="10" spans="1:4" ht="15.75" customHeight="1">
      <c r="A10" s="20"/>
      <c r="B10" s="25" t="s">
        <v>49</v>
      </c>
      <c r="C10" s="39">
        <f>'lisa3 (põhitegevus)'!C12</f>
        <v>459626</v>
      </c>
      <c r="D10" s="26"/>
    </row>
    <row r="11" spans="1:4" ht="15.75" customHeight="1">
      <c r="A11" s="20"/>
      <c r="B11" s="25" t="s">
        <v>3</v>
      </c>
      <c r="C11" s="39">
        <f>'lisa3 (põhitegevus)'!C15</f>
        <v>13104552</v>
      </c>
      <c r="D11" s="26"/>
    </row>
    <row r="12" spans="1:4" ht="15.75" customHeight="1">
      <c r="A12" s="20"/>
      <c r="B12" s="25" t="s">
        <v>4</v>
      </c>
      <c r="C12" s="39">
        <f>'lisa3 (põhitegevus)'!C23</f>
        <v>5246926</v>
      </c>
      <c r="D12" s="26"/>
    </row>
    <row r="13" spans="1:4" ht="15.75" customHeight="1">
      <c r="A13" s="20"/>
      <c r="B13" s="25" t="s">
        <v>5</v>
      </c>
      <c r="C13" s="39">
        <f>'lisa3 (põhitegevus)'!C28</f>
        <v>2234419</v>
      </c>
      <c r="D13" s="26"/>
    </row>
    <row r="14" spans="1:4" ht="15.75" customHeight="1">
      <c r="A14" s="20"/>
      <c r="B14" s="25" t="s">
        <v>50</v>
      </c>
      <c r="C14" s="39">
        <f>'lisa3 (põhitegevus)'!C33</f>
        <v>405688</v>
      </c>
      <c r="D14" s="26"/>
    </row>
    <row r="15" spans="1:4" ht="15.75" customHeight="1">
      <c r="A15" s="20"/>
      <c r="B15" s="25" t="s">
        <v>10</v>
      </c>
      <c r="C15" s="39">
        <f>'lisa3 (põhitegevus)'!C38</f>
        <v>9721080</v>
      </c>
      <c r="D15" s="26"/>
    </row>
    <row r="16" spans="1:4" ht="15.75" customHeight="1">
      <c r="A16" s="20"/>
      <c r="B16" s="25" t="s">
        <v>6</v>
      </c>
      <c r="C16" s="39">
        <f>'lisa3 (põhitegevus)'!C57</f>
        <v>61952151</v>
      </c>
      <c r="D16" s="26"/>
    </row>
    <row r="17" spans="1:4" s="31" customFormat="1" ht="16.5" customHeight="1">
      <c r="A17" s="32"/>
      <c r="B17" s="36" t="s">
        <v>7</v>
      </c>
      <c r="C17" s="40">
        <f>'lisa3 (põhitegevus)'!C73</f>
        <v>10184205</v>
      </c>
      <c r="D17" s="42"/>
    </row>
    <row r="18" spans="1:4" s="16" customFormat="1" ht="23.25" customHeight="1">
      <c r="A18" s="27"/>
      <c r="B18" s="28" t="s">
        <v>21</v>
      </c>
      <c r="C18" s="37">
        <f>SUM(C19:C21)</f>
        <v>12979868</v>
      </c>
      <c r="D18" s="30"/>
    </row>
    <row r="19" spans="1:4" ht="15.75" customHeight="1">
      <c r="A19" s="20"/>
      <c r="B19" s="24" t="s">
        <v>68</v>
      </c>
      <c r="C19" s="38">
        <f>'lisa 2 (Tulubaas)'!C31</f>
        <v>890000</v>
      </c>
      <c r="D19" s="26"/>
    </row>
    <row r="20" spans="1:4" ht="16.5" customHeight="1">
      <c r="A20" s="20"/>
      <c r="B20" s="45" t="s">
        <v>55</v>
      </c>
      <c r="C20" s="38">
        <f>'lisa 2 (Tulubaas)'!C34</f>
        <v>11874868</v>
      </c>
      <c r="D20" s="26"/>
    </row>
    <row r="21" spans="1:4" s="31" customFormat="1" ht="16.5" customHeight="1">
      <c r="A21" s="32"/>
      <c r="B21" s="43" t="s">
        <v>69</v>
      </c>
      <c r="C21" s="44">
        <f>'lisa 2 (Tulubaas)'!C35</f>
        <v>215000</v>
      </c>
      <c r="D21" s="42"/>
    </row>
    <row r="22" spans="1:4" s="16" customFormat="1" ht="23.25" customHeight="1">
      <c r="A22" s="27"/>
      <c r="B22" s="28" t="s">
        <v>22</v>
      </c>
      <c r="C22" s="37">
        <f>SUM(C23:C30)</f>
        <v>28380919</v>
      </c>
      <c r="D22" s="30"/>
    </row>
    <row r="23" spans="1:4" ht="15.75" customHeight="1">
      <c r="A23" s="20"/>
      <c r="B23" s="24" t="s">
        <v>2</v>
      </c>
      <c r="C23" s="38">
        <f>'Lisa 4 (invest)'!F10</f>
        <v>945522</v>
      </c>
      <c r="D23" s="26"/>
    </row>
    <row r="24" spans="1:4" ht="15.75" customHeight="1">
      <c r="A24" s="20"/>
      <c r="B24" s="25" t="s">
        <v>3</v>
      </c>
      <c r="C24" s="39">
        <f>'Lisa 4 (invest)'!F19</f>
        <v>16758671</v>
      </c>
      <c r="D24" s="26"/>
    </row>
    <row r="25" spans="1:4" ht="15.75" customHeight="1">
      <c r="A25" s="20"/>
      <c r="B25" s="25" t="s">
        <v>4</v>
      </c>
      <c r="C25" s="39">
        <f>'Lisa 4 (invest)'!F63</f>
        <v>437541</v>
      </c>
      <c r="D25" s="26"/>
    </row>
    <row r="26" spans="1:4" ht="15.75" customHeight="1">
      <c r="A26" s="20"/>
      <c r="B26" s="25" t="s">
        <v>5</v>
      </c>
      <c r="C26" s="39">
        <f>'Lisa 4 (invest)'!F76</f>
        <v>613000</v>
      </c>
      <c r="D26" s="26"/>
    </row>
    <row r="27" spans="1:4" ht="15.75" customHeight="1">
      <c r="A27" s="20"/>
      <c r="B27" s="25" t="s">
        <v>50</v>
      </c>
      <c r="C27" s="39">
        <f>'Lisa 4 (invest)'!F98</f>
        <v>10000</v>
      </c>
      <c r="D27" s="26"/>
    </row>
    <row r="28" spans="1:4" ht="15.75" customHeight="1">
      <c r="A28" s="20"/>
      <c r="B28" s="25" t="s">
        <v>10</v>
      </c>
      <c r="C28" s="39">
        <f>'Lisa 4 (invest)'!F100</f>
        <v>1861535</v>
      </c>
      <c r="D28" s="26"/>
    </row>
    <row r="29" spans="1:4" ht="15.75" customHeight="1">
      <c r="A29" s="20"/>
      <c r="B29" s="25" t="s">
        <v>6</v>
      </c>
      <c r="C29" s="39">
        <f>'Lisa 4 (invest)'!F143</f>
        <v>7592150</v>
      </c>
      <c r="D29" s="26"/>
    </row>
    <row r="30" spans="1:4" s="31" customFormat="1" ht="16.5" customHeight="1">
      <c r="A30" s="32"/>
      <c r="B30" s="36" t="s">
        <v>7</v>
      </c>
      <c r="C30" s="40">
        <f>'Lisa 4 (invest)'!F184</f>
        <v>162500</v>
      </c>
      <c r="D30" s="42"/>
    </row>
    <row r="31" spans="1:4" s="31" customFormat="1" ht="27.75" customHeight="1">
      <c r="A31" s="34"/>
      <c r="B31" s="35" t="s">
        <v>356</v>
      </c>
      <c r="C31" s="41">
        <f>C3-C8+C18-C22</f>
        <v>-6175960</v>
      </c>
      <c r="D31" s="29"/>
    </row>
    <row r="32" spans="1:4" s="16" customFormat="1" ht="23.25" customHeight="1">
      <c r="A32" s="27"/>
      <c r="B32" s="28" t="s">
        <v>32</v>
      </c>
      <c r="C32" s="37">
        <f>SUM(C33:C34)</f>
        <v>3362930</v>
      </c>
      <c r="D32" s="30"/>
    </row>
    <row r="33" spans="1:4" ht="15.75" customHeight="1">
      <c r="A33" s="20"/>
      <c r="B33" s="24" t="s">
        <v>66</v>
      </c>
      <c r="C33" s="38">
        <f>'lisa 2 (Tulubaas)'!C39</f>
        <v>11687130</v>
      </c>
      <c r="D33" s="26"/>
    </row>
    <row r="34" spans="1:4" s="31" customFormat="1" ht="16.5" customHeight="1">
      <c r="A34" s="32"/>
      <c r="B34" s="36" t="s">
        <v>67</v>
      </c>
      <c r="C34" s="40">
        <f>-8324200</f>
        <v>-8324200</v>
      </c>
      <c r="D34" s="42"/>
    </row>
    <row r="35" spans="1:4" s="31" customFormat="1" ht="34.5" customHeight="1">
      <c r="A35" s="34"/>
      <c r="B35" s="35" t="s">
        <v>357</v>
      </c>
      <c r="C35" s="41">
        <f>SUM('lisa 2 (Tulubaas)'!C40)</f>
        <v>-2813030</v>
      </c>
      <c r="D35" s="29"/>
    </row>
    <row r="36" spans="1:4" s="16" customFormat="1" ht="23.25" customHeight="1">
      <c r="A36" s="34"/>
      <c r="B36" s="33" t="s">
        <v>8</v>
      </c>
      <c r="C36" s="41">
        <f>C3+C18+C33-C35</f>
        <v>148868514</v>
      </c>
      <c r="D36" s="29"/>
    </row>
    <row r="37" spans="1:4">
      <c r="C37" s="21"/>
      <c r="D37" s="21"/>
    </row>
    <row r="38" spans="1:4">
      <c r="C38" s="22"/>
      <c r="D38" s="22"/>
    </row>
  </sheetData>
  <mergeCells count="1">
    <mergeCell ref="B1:C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..... 12.2015. a määruse
 nr ...... juurde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showGridLines="0" showZeros="0" workbookViewId="0">
      <selection activeCell="J24" sqref="J24"/>
    </sheetView>
  </sheetViews>
  <sheetFormatPr defaultRowHeight="15"/>
  <cols>
    <col min="1" max="1" width="0.85546875" style="1" customWidth="1"/>
    <col min="2" max="2" width="48.28515625" style="1" customWidth="1"/>
    <col min="3" max="3" width="14.7109375" style="1" customWidth="1"/>
    <col min="4" max="4" width="0.85546875" style="1" customWidth="1"/>
    <col min="5" max="16384" width="9.140625" style="1"/>
  </cols>
  <sheetData>
    <row r="1" spans="1:4">
      <c r="B1" s="368" t="s">
        <v>358</v>
      </c>
      <c r="C1" s="368"/>
    </row>
    <row r="2" spans="1:4">
      <c r="B2" s="49"/>
      <c r="C2" s="47" t="s">
        <v>26</v>
      </c>
    </row>
    <row r="3" spans="1:4" s="16" customFormat="1" ht="21" customHeight="1">
      <c r="A3" s="27"/>
      <c r="B3" s="28" t="s">
        <v>23</v>
      </c>
      <c r="C3" s="37">
        <f>SUM(C4,C10,C22,C25)</f>
        <v>121388486</v>
      </c>
      <c r="D3" s="53"/>
    </row>
    <row r="4" spans="1:4" ht="17.25" customHeight="1">
      <c r="A4" s="20"/>
      <c r="B4" s="63" t="s">
        <v>0</v>
      </c>
      <c r="C4" s="54">
        <f>SUM(C5:C9)</f>
        <v>65950000</v>
      </c>
      <c r="D4" s="50"/>
    </row>
    <row r="5" spans="1:4" ht="16.5" customHeight="1">
      <c r="A5" s="20"/>
      <c r="B5" s="24" t="s">
        <v>43</v>
      </c>
      <c r="C5" s="39">
        <v>64200000</v>
      </c>
      <c r="D5" s="50"/>
    </row>
    <row r="6" spans="1:4">
      <c r="A6" s="20"/>
      <c r="B6" s="25" t="s">
        <v>44</v>
      </c>
      <c r="C6" s="39">
        <v>700000</v>
      </c>
      <c r="D6" s="50"/>
    </row>
    <row r="7" spans="1:4">
      <c r="A7" s="20"/>
      <c r="B7" s="25" t="s">
        <v>40</v>
      </c>
      <c r="C7" s="39">
        <v>380000</v>
      </c>
      <c r="D7" s="50"/>
    </row>
    <row r="8" spans="1:4">
      <c r="A8" s="20"/>
      <c r="B8" s="25" t="s">
        <v>41</v>
      </c>
      <c r="C8" s="39">
        <v>200000</v>
      </c>
      <c r="D8" s="50"/>
    </row>
    <row r="9" spans="1:4" s="16" customFormat="1" ht="16.5" customHeight="1">
      <c r="A9" s="58"/>
      <c r="B9" s="59" t="s">
        <v>42</v>
      </c>
      <c r="C9" s="60">
        <v>470000</v>
      </c>
      <c r="D9" s="61"/>
    </row>
    <row r="10" spans="1:4" ht="17.25" customHeight="1">
      <c r="A10" s="20"/>
      <c r="B10" s="64" t="s">
        <v>1</v>
      </c>
      <c r="C10" s="51">
        <f>SUM(C11:C21)</f>
        <v>17072153</v>
      </c>
      <c r="D10" s="50"/>
    </row>
    <row r="11" spans="1:4" ht="16.5" customHeight="1">
      <c r="A11" s="20"/>
      <c r="B11" s="24" t="s">
        <v>45</v>
      </c>
      <c r="C11" s="39">
        <v>150000</v>
      </c>
      <c r="D11" s="50"/>
    </row>
    <row r="12" spans="1:4">
      <c r="A12" s="20"/>
      <c r="B12" s="52" t="s">
        <v>59</v>
      </c>
      <c r="C12" s="39">
        <v>8645156</v>
      </c>
      <c r="D12" s="50"/>
    </row>
    <row r="13" spans="1:4">
      <c r="A13" s="20"/>
      <c r="B13" s="52" t="s">
        <v>60</v>
      </c>
      <c r="C13" s="39">
        <v>541725</v>
      </c>
      <c r="D13" s="50"/>
    </row>
    <row r="14" spans="1:4">
      <c r="A14" s="20"/>
      <c r="B14" s="52" t="s">
        <v>61</v>
      </c>
      <c r="C14" s="39">
        <v>39340</v>
      </c>
      <c r="D14" s="50"/>
    </row>
    <row r="15" spans="1:4">
      <c r="A15" s="20"/>
      <c r="B15" s="52" t="s">
        <v>62</v>
      </c>
      <c r="C15" s="39">
        <v>984992</v>
      </c>
      <c r="D15" s="50"/>
    </row>
    <row r="16" spans="1:4">
      <c r="A16" s="20"/>
      <c r="B16" s="52" t="s">
        <v>63</v>
      </c>
      <c r="C16" s="39">
        <v>4000</v>
      </c>
      <c r="D16" s="50"/>
    </row>
    <row r="17" spans="1:4">
      <c r="A17" s="20"/>
      <c r="B17" s="52" t="s">
        <v>64</v>
      </c>
      <c r="C17" s="39">
        <v>13000</v>
      </c>
      <c r="D17" s="50"/>
    </row>
    <row r="18" spans="1:4">
      <c r="A18" s="20"/>
      <c r="B18" s="52" t="s">
        <v>65</v>
      </c>
      <c r="C18" s="39">
        <v>3832000</v>
      </c>
      <c r="D18" s="50"/>
    </row>
    <row r="19" spans="1:4">
      <c r="A19" s="20"/>
      <c r="B19" s="52" t="s">
        <v>46</v>
      </c>
      <c r="C19" s="39">
        <v>2713340</v>
      </c>
      <c r="D19" s="50"/>
    </row>
    <row r="20" spans="1:4">
      <c r="A20" s="20"/>
      <c r="B20" s="52" t="s">
        <v>47</v>
      </c>
      <c r="C20" s="39">
        <v>100600</v>
      </c>
      <c r="D20" s="50"/>
    </row>
    <row r="21" spans="1:4" s="16" customFormat="1" ht="16.5" customHeight="1">
      <c r="A21" s="58"/>
      <c r="B21" s="68" t="s">
        <v>48</v>
      </c>
      <c r="C21" s="60">
        <f>48000</f>
        <v>48000</v>
      </c>
      <c r="D21" s="61"/>
    </row>
    <row r="22" spans="1:4" ht="17.25" customHeight="1">
      <c r="A22" s="20"/>
      <c r="B22" s="64" t="s">
        <v>24</v>
      </c>
      <c r="C22" s="51">
        <f>SUM(C23:C24)</f>
        <v>35921120</v>
      </c>
      <c r="D22" s="50"/>
    </row>
    <row r="23" spans="1:4" ht="16.5" customHeight="1">
      <c r="A23" s="20"/>
      <c r="B23" s="24" t="s">
        <v>359</v>
      </c>
      <c r="C23" s="39">
        <v>3208514</v>
      </c>
      <c r="D23" s="50"/>
    </row>
    <row r="24" spans="1:4" s="16" customFormat="1" ht="16.5" customHeight="1">
      <c r="A24" s="58"/>
      <c r="B24" s="68" t="s">
        <v>360</v>
      </c>
      <c r="C24" s="60">
        <v>32712606</v>
      </c>
      <c r="D24" s="61"/>
    </row>
    <row r="25" spans="1:4" ht="17.25" customHeight="1">
      <c r="A25" s="20"/>
      <c r="B25" s="64" t="s">
        <v>19</v>
      </c>
      <c r="C25" s="51">
        <f>SUM(C26:C29)</f>
        <v>2445213</v>
      </c>
      <c r="D25" s="50"/>
    </row>
    <row r="26" spans="1:4" ht="16.5" customHeight="1">
      <c r="A26" s="20"/>
      <c r="B26" s="62" t="s">
        <v>52</v>
      </c>
      <c r="C26" s="39">
        <v>190000</v>
      </c>
      <c r="D26" s="50"/>
    </row>
    <row r="27" spans="1:4">
      <c r="A27" s="20"/>
      <c r="B27" s="25" t="s">
        <v>51</v>
      </c>
      <c r="C27" s="39">
        <v>390000</v>
      </c>
      <c r="D27" s="50"/>
    </row>
    <row r="28" spans="1:4">
      <c r="A28" s="20"/>
      <c r="B28" s="25" t="s">
        <v>341</v>
      </c>
      <c r="C28" s="39">
        <v>14000</v>
      </c>
      <c r="D28" s="50"/>
    </row>
    <row r="29" spans="1:4" s="16" customFormat="1" ht="16.5" customHeight="1">
      <c r="A29" s="58"/>
      <c r="B29" s="59" t="s">
        <v>119</v>
      </c>
      <c r="C29" s="60">
        <v>1851213</v>
      </c>
      <c r="D29" s="61"/>
    </row>
    <row r="30" spans="1:4" ht="21" customHeight="1">
      <c r="A30" s="20"/>
      <c r="B30" s="64" t="s">
        <v>21</v>
      </c>
      <c r="C30" s="69">
        <f>SUM(C31,C34,C35)</f>
        <v>12979868</v>
      </c>
      <c r="D30" s="50"/>
    </row>
    <row r="31" spans="1:4" ht="17.25" customHeight="1">
      <c r="A31" s="20"/>
      <c r="B31" s="63" t="s">
        <v>68</v>
      </c>
      <c r="C31" s="54">
        <f>SUM(C32:C33)</f>
        <v>890000</v>
      </c>
      <c r="D31" s="50"/>
    </row>
    <row r="32" spans="1:4">
      <c r="A32" s="20"/>
      <c r="B32" s="24" t="s">
        <v>54</v>
      </c>
      <c r="C32" s="39">
        <v>810000</v>
      </c>
      <c r="D32" s="50"/>
    </row>
    <row r="33" spans="1:4" s="16" customFormat="1">
      <c r="A33" s="58"/>
      <c r="B33" s="59" t="s">
        <v>33</v>
      </c>
      <c r="C33" s="60">
        <f>-14000+94000</f>
        <v>80000</v>
      </c>
      <c r="D33" s="61"/>
    </row>
    <row r="34" spans="1:4" ht="17.25" customHeight="1">
      <c r="A34" s="20"/>
      <c r="B34" s="71" t="s">
        <v>55</v>
      </c>
      <c r="C34" s="51">
        <v>11874868</v>
      </c>
      <c r="D34" s="50"/>
    </row>
    <row r="35" spans="1:4" ht="17.25" customHeight="1">
      <c r="A35" s="20"/>
      <c r="B35" s="63" t="s">
        <v>69</v>
      </c>
      <c r="C35" s="51">
        <f>SUM(C36:C37)</f>
        <v>215000</v>
      </c>
      <c r="D35" s="50"/>
    </row>
    <row r="36" spans="1:4">
      <c r="A36" s="20"/>
      <c r="B36" s="24" t="s">
        <v>53</v>
      </c>
      <c r="C36" s="39">
        <v>15000</v>
      </c>
      <c r="D36" s="50"/>
    </row>
    <row r="37" spans="1:4" s="16" customFormat="1">
      <c r="A37" s="58"/>
      <c r="B37" s="59" t="s">
        <v>321</v>
      </c>
      <c r="C37" s="60">
        <v>200000</v>
      </c>
      <c r="D37" s="61"/>
    </row>
    <row r="38" spans="1:4" ht="21" customHeight="1">
      <c r="A38" s="20"/>
      <c r="B38" s="70" t="s">
        <v>371</v>
      </c>
      <c r="C38" s="69">
        <f>SUM(C39)</f>
        <v>11687130</v>
      </c>
      <c r="D38" s="50"/>
    </row>
    <row r="39" spans="1:4" s="16" customFormat="1" ht="17.25" customHeight="1">
      <c r="A39" s="58"/>
      <c r="B39" s="72" t="s">
        <v>361</v>
      </c>
      <c r="C39" s="73">
        <v>11687130</v>
      </c>
      <c r="D39" s="61"/>
    </row>
    <row r="40" spans="1:4" s="67" customFormat="1" ht="21" customHeight="1">
      <c r="A40" s="65"/>
      <c r="B40" s="74" t="s">
        <v>25</v>
      </c>
      <c r="C40" s="75">
        <f>SUM(C41:C41)</f>
        <v>-2813030</v>
      </c>
      <c r="D40" s="66"/>
    </row>
    <row r="41" spans="1:4" ht="17.25" customHeight="1">
      <c r="A41" s="20"/>
      <c r="B41" s="62" t="s">
        <v>70</v>
      </c>
      <c r="C41" s="38">
        <v>-2813030</v>
      </c>
      <c r="D41" s="50"/>
    </row>
    <row r="42" spans="1:4" s="16" customFormat="1" ht="21" customHeight="1">
      <c r="A42" s="32"/>
      <c r="B42" s="55" t="s">
        <v>9</v>
      </c>
      <c r="C42" s="56">
        <f>C3+C30+C38-C40</f>
        <v>148868514</v>
      </c>
      <c r="D42" s="57"/>
    </row>
    <row r="43" spans="1:4">
      <c r="B43" s="48"/>
      <c r="C43" s="48"/>
    </row>
    <row r="44" spans="1:4" ht="27.75" customHeight="1">
      <c r="B44" s="369"/>
      <c r="C44" s="369"/>
    </row>
  </sheetData>
  <mergeCells count="2">
    <mergeCell ref="B1:C1"/>
    <mergeCell ref="B44:C44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.........12.2015. a määruse
nr ..... juurde</oddHeader>
    <oddFooter xml:space="preserve">&amp;C&amp;N+1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showGridLines="0" workbookViewId="0">
      <selection activeCell="E37" sqref="E37"/>
    </sheetView>
  </sheetViews>
  <sheetFormatPr defaultRowHeight="15"/>
  <cols>
    <col min="1" max="1" width="7" style="46" customWidth="1"/>
    <col min="2" max="2" width="41" style="1" customWidth="1"/>
    <col min="3" max="3" width="12.7109375" style="3" customWidth="1"/>
    <col min="4" max="5" width="11.42578125" style="1" customWidth="1"/>
    <col min="6" max="6" width="0.85546875" style="1" customWidth="1"/>
    <col min="7" max="16384" width="9.140625" style="1"/>
  </cols>
  <sheetData>
    <row r="1" spans="1:6">
      <c r="B1" s="368" t="s">
        <v>362</v>
      </c>
      <c r="C1" s="368"/>
    </row>
    <row r="2" spans="1:6">
      <c r="C2" s="2"/>
      <c r="E2" s="47" t="s">
        <v>26</v>
      </c>
    </row>
    <row r="3" spans="1:6" ht="45">
      <c r="A3" s="76" t="s">
        <v>363</v>
      </c>
      <c r="B3" s="77" t="s">
        <v>364</v>
      </c>
      <c r="C3" s="78" t="s">
        <v>365</v>
      </c>
      <c r="D3" s="79" t="s">
        <v>172</v>
      </c>
      <c r="E3" s="83" t="s">
        <v>173</v>
      </c>
      <c r="F3" s="80"/>
    </row>
    <row r="4" spans="1:6" s="16" customFormat="1" ht="21" customHeight="1">
      <c r="A4" s="103"/>
      <c r="B4" s="98" t="s">
        <v>20</v>
      </c>
      <c r="C4" s="99">
        <f>SUM(D4:E4)</f>
        <v>112163395</v>
      </c>
      <c r="D4" s="100">
        <f>SUM(D5,D12,D15,D23,D28,D33,D38,D57,D73)</f>
        <v>15189941</v>
      </c>
      <c r="E4" s="101">
        <f>SUM(E5,E12,E15,E23,E28,E33,E38,E57,E73)</f>
        <v>96973454</v>
      </c>
      <c r="F4" s="104"/>
    </row>
    <row r="5" spans="1:6" s="16" customFormat="1" ht="19.5" customHeight="1">
      <c r="A5" s="102" t="s">
        <v>85</v>
      </c>
      <c r="B5" s="98" t="s">
        <v>2</v>
      </c>
      <c r="C5" s="99">
        <f>SUM(D5:E5)</f>
        <v>8854748</v>
      </c>
      <c r="D5" s="100">
        <f>SUM(D6:D11)</f>
        <v>77890</v>
      </c>
      <c r="E5" s="101">
        <f>SUM(E6:E11)</f>
        <v>8776858</v>
      </c>
      <c r="F5" s="53"/>
    </row>
    <row r="6" spans="1:6" ht="16.5" customHeight="1">
      <c r="A6" s="90" t="s">
        <v>86</v>
      </c>
      <c r="B6" s="86" t="s">
        <v>174</v>
      </c>
      <c r="C6" s="87">
        <f>SUM(D6:E6)</f>
        <v>349207</v>
      </c>
      <c r="D6" s="88"/>
      <c r="E6" s="89">
        <v>349207</v>
      </c>
      <c r="F6" s="50"/>
    </row>
    <row r="7" spans="1:6">
      <c r="A7" s="81" t="s">
        <v>87</v>
      </c>
      <c r="B7" s="13" t="s">
        <v>175</v>
      </c>
      <c r="C7" s="10">
        <f t="shared" ref="C7:C69" si="0">SUM(D7:E7)</f>
        <v>7439533</v>
      </c>
      <c r="D7" s="14"/>
      <c r="E7" s="84">
        <f>15000+7424533</f>
        <v>7439533</v>
      </c>
      <c r="F7" s="50"/>
    </row>
    <row r="8" spans="1:6">
      <c r="A8" s="81" t="s">
        <v>88</v>
      </c>
      <c r="B8" s="13" t="s">
        <v>176</v>
      </c>
      <c r="C8" s="10">
        <f t="shared" si="0"/>
        <v>500000</v>
      </c>
      <c r="D8" s="14"/>
      <c r="E8" s="84">
        <v>500000</v>
      </c>
      <c r="F8" s="50"/>
    </row>
    <row r="9" spans="1:6">
      <c r="A9" s="81" t="s">
        <v>89</v>
      </c>
      <c r="B9" s="13" t="s">
        <v>177</v>
      </c>
      <c r="C9" s="10">
        <f t="shared" si="0"/>
        <v>43230</v>
      </c>
      <c r="D9" s="14"/>
      <c r="E9" s="84">
        <v>43230</v>
      </c>
      <c r="F9" s="50"/>
    </row>
    <row r="10" spans="1:6">
      <c r="A10" s="81" t="s">
        <v>90</v>
      </c>
      <c r="B10" s="13" t="s">
        <v>178</v>
      </c>
      <c r="C10" s="10">
        <f t="shared" si="0"/>
        <v>102270</v>
      </c>
      <c r="D10" s="14"/>
      <c r="E10" s="84">
        <v>102270</v>
      </c>
      <c r="F10" s="50"/>
    </row>
    <row r="11" spans="1:6" s="16" customFormat="1" ht="16.5" customHeight="1">
      <c r="A11" s="96" t="s">
        <v>91</v>
      </c>
      <c r="B11" s="92" t="s">
        <v>179</v>
      </c>
      <c r="C11" s="93">
        <f t="shared" si="0"/>
        <v>420508</v>
      </c>
      <c r="D11" s="94">
        <v>77890</v>
      </c>
      <c r="E11" s="95">
        <f>6500+333118+3000</f>
        <v>342618</v>
      </c>
      <c r="F11" s="57"/>
    </row>
    <row r="12" spans="1:6" s="16" customFormat="1" ht="19.5" customHeight="1">
      <c r="A12" s="102" t="s">
        <v>92</v>
      </c>
      <c r="B12" s="98" t="s">
        <v>49</v>
      </c>
      <c r="C12" s="99">
        <f t="shared" si="0"/>
        <v>459626</v>
      </c>
      <c r="D12" s="100">
        <f>SUM(D13:D14)</f>
        <v>49060</v>
      </c>
      <c r="E12" s="101">
        <f>SUM(E13:E14)</f>
        <v>410566</v>
      </c>
      <c r="F12" s="53"/>
    </row>
    <row r="13" spans="1:6" ht="16.5" customHeight="1">
      <c r="A13" s="90" t="s">
        <v>93</v>
      </c>
      <c r="B13" s="86" t="s">
        <v>180</v>
      </c>
      <c r="C13" s="87">
        <f>SUM(D13:E13)</f>
        <v>28000</v>
      </c>
      <c r="D13" s="88">
        <v>28000</v>
      </c>
      <c r="E13" s="89"/>
      <c r="F13" s="50"/>
    </row>
    <row r="14" spans="1:6" s="16" customFormat="1" ht="16.5" customHeight="1">
      <c r="A14" s="96" t="s">
        <v>94</v>
      </c>
      <c r="B14" s="92" t="s">
        <v>181</v>
      </c>
      <c r="C14" s="93">
        <f t="shared" si="0"/>
        <v>431626</v>
      </c>
      <c r="D14" s="94">
        <v>21060</v>
      </c>
      <c r="E14" s="95">
        <v>410566</v>
      </c>
      <c r="F14" s="57"/>
    </row>
    <row r="15" spans="1:6" s="16" customFormat="1" ht="19.5" customHeight="1">
      <c r="A15" s="102" t="s">
        <v>95</v>
      </c>
      <c r="B15" s="98" t="s">
        <v>3</v>
      </c>
      <c r="C15" s="99">
        <f t="shared" si="0"/>
        <v>13104552</v>
      </c>
      <c r="D15" s="100">
        <f>SUM(D16:D22)</f>
        <v>660850</v>
      </c>
      <c r="E15" s="101">
        <f>SUM(E16:E22)</f>
        <v>12443702</v>
      </c>
      <c r="F15" s="53"/>
    </row>
    <row r="16" spans="1:6" ht="16.5" customHeight="1">
      <c r="A16" s="90" t="s">
        <v>96</v>
      </c>
      <c r="B16" s="86" t="s">
        <v>182</v>
      </c>
      <c r="C16" s="87">
        <f t="shared" si="0"/>
        <v>93842</v>
      </c>
      <c r="D16" s="88"/>
      <c r="E16" s="89">
        <v>93842</v>
      </c>
      <c r="F16" s="50"/>
    </row>
    <row r="17" spans="1:6">
      <c r="A17" s="81" t="s">
        <v>97</v>
      </c>
      <c r="B17" s="13" t="s">
        <v>183</v>
      </c>
      <c r="C17" s="10">
        <f t="shared" si="0"/>
        <v>2082474</v>
      </c>
      <c r="D17" s="14"/>
      <c r="E17" s="84">
        <f>657644+1424830</f>
        <v>2082474</v>
      </c>
      <c r="F17" s="50"/>
    </row>
    <row r="18" spans="1:6">
      <c r="A18" s="81" t="s">
        <v>98</v>
      </c>
      <c r="B18" s="13" t="s">
        <v>184</v>
      </c>
      <c r="C18" s="10">
        <f t="shared" si="0"/>
        <v>8155317</v>
      </c>
      <c r="D18" s="14"/>
      <c r="E18" s="84">
        <v>8155317</v>
      </c>
      <c r="F18" s="50"/>
    </row>
    <row r="19" spans="1:6">
      <c r="A19" s="81" t="s">
        <v>99</v>
      </c>
      <c r="B19" s="13" t="s">
        <v>38</v>
      </c>
      <c r="C19" s="10">
        <f t="shared" si="0"/>
        <v>31956</v>
      </c>
      <c r="D19" s="14">
        <v>31956</v>
      </c>
      <c r="E19" s="84"/>
      <c r="F19" s="50"/>
    </row>
    <row r="20" spans="1:6">
      <c r="A20" s="81" t="s">
        <v>100</v>
      </c>
      <c r="B20" s="13" t="s">
        <v>185</v>
      </c>
      <c r="C20" s="10">
        <f t="shared" si="0"/>
        <v>270443</v>
      </c>
      <c r="D20" s="14">
        <v>270443</v>
      </c>
      <c r="E20" s="84"/>
      <c r="F20" s="50"/>
    </row>
    <row r="21" spans="1:6">
      <c r="A21" s="81" t="s">
        <v>101</v>
      </c>
      <c r="B21" s="13" t="s">
        <v>186</v>
      </c>
      <c r="C21" s="10">
        <f t="shared" si="0"/>
        <v>864390</v>
      </c>
      <c r="D21" s="14">
        <v>349575</v>
      </c>
      <c r="E21" s="84">
        <f>-2+514817</f>
        <v>514815</v>
      </c>
      <c r="F21" s="50"/>
    </row>
    <row r="22" spans="1:6" s="16" customFormat="1" ht="16.5" customHeight="1">
      <c r="A22" s="96" t="s">
        <v>102</v>
      </c>
      <c r="B22" s="92" t="s">
        <v>187</v>
      </c>
      <c r="C22" s="93">
        <f t="shared" si="0"/>
        <v>1606130</v>
      </c>
      <c r="D22" s="94">
        <v>8876</v>
      </c>
      <c r="E22" s="95">
        <v>1597254</v>
      </c>
      <c r="F22" s="57"/>
    </row>
    <row r="23" spans="1:6" s="16" customFormat="1" ht="19.5" customHeight="1">
      <c r="A23" s="102" t="s">
        <v>103</v>
      </c>
      <c r="B23" s="98" t="s">
        <v>4</v>
      </c>
      <c r="C23" s="99">
        <f t="shared" si="0"/>
        <v>5246926</v>
      </c>
      <c r="D23" s="100">
        <f>SUM(D24:D27)</f>
        <v>68120</v>
      </c>
      <c r="E23" s="101">
        <f>SUM(E24:E27)</f>
        <v>5178806</v>
      </c>
      <c r="F23" s="53"/>
    </row>
    <row r="24" spans="1:6" ht="16.5" customHeight="1">
      <c r="A24" s="90" t="s">
        <v>104</v>
      </c>
      <c r="B24" s="86" t="s">
        <v>188</v>
      </c>
      <c r="C24" s="87">
        <f t="shared" si="0"/>
        <v>4095633</v>
      </c>
      <c r="D24" s="88">
        <v>61620</v>
      </c>
      <c r="E24" s="89">
        <v>4034013</v>
      </c>
      <c r="F24" s="50"/>
    </row>
    <row r="25" spans="1:6">
      <c r="A25" s="81" t="s">
        <v>105</v>
      </c>
      <c r="B25" s="13" t="s">
        <v>189</v>
      </c>
      <c r="C25" s="10">
        <f t="shared" si="0"/>
        <v>134560</v>
      </c>
      <c r="D25" s="14"/>
      <c r="E25" s="84">
        <v>134560</v>
      </c>
      <c r="F25" s="50"/>
    </row>
    <row r="26" spans="1:6">
      <c r="A26" s="81" t="s">
        <v>106</v>
      </c>
      <c r="B26" s="13" t="s">
        <v>190</v>
      </c>
      <c r="C26" s="10">
        <f t="shared" si="0"/>
        <v>983160</v>
      </c>
      <c r="D26" s="14"/>
      <c r="E26" s="84">
        <v>983160</v>
      </c>
      <c r="F26" s="50"/>
    </row>
    <row r="27" spans="1:6" s="16" customFormat="1" ht="16.5" customHeight="1">
      <c r="A27" s="96" t="s">
        <v>107</v>
      </c>
      <c r="B27" s="92" t="s">
        <v>191</v>
      </c>
      <c r="C27" s="93">
        <f t="shared" si="0"/>
        <v>33573</v>
      </c>
      <c r="D27" s="94">
        <v>6500</v>
      </c>
      <c r="E27" s="95">
        <v>27073</v>
      </c>
      <c r="F27" s="57"/>
    </row>
    <row r="28" spans="1:6" s="16" customFormat="1" ht="19.5" customHeight="1">
      <c r="A28" s="102" t="s">
        <v>108</v>
      </c>
      <c r="B28" s="98" t="s">
        <v>5</v>
      </c>
      <c r="C28" s="99">
        <f t="shared" si="0"/>
        <v>2234419</v>
      </c>
      <c r="D28" s="100">
        <f>SUM(D29:D32)</f>
        <v>10500</v>
      </c>
      <c r="E28" s="101">
        <f>SUM(E29:E32)</f>
        <v>2223919</v>
      </c>
      <c r="F28" s="53"/>
    </row>
    <row r="29" spans="1:6" ht="16.5" customHeight="1">
      <c r="A29" s="90" t="s">
        <v>109</v>
      </c>
      <c r="B29" s="86" t="s">
        <v>192</v>
      </c>
      <c r="C29" s="87">
        <f t="shared" si="0"/>
        <v>591350</v>
      </c>
      <c r="D29" s="88">
        <v>9350</v>
      </c>
      <c r="E29" s="89">
        <v>582000</v>
      </c>
      <c r="F29" s="50"/>
    </row>
    <row r="30" spans="1:6">
      <c r="A30" s="81" t="s">
        <v>110</v>
      </c>
      <c r="B30" s="13" t="s">
        <v>193</v>
      </c>
      <c r="C30" s="10">
        <f t="shared" si="0"/>
        <v>6825</v>
      </c>
      <c r="D30" s="14"/>
      <c r="E30" s="84">
        <v>6825</v>
      </c>
      <c r="F30" s="50"/>
    </row>
    <row r="31" spans="1:6">
      <c r="A31" s="81" t="s">
        <v>111</v>
      </c>
      <c r="B31" s="13" t="s">
        <v>194</v>
      </c>
      <c r="C31" s="10">
        <f t="shared" si="0"/>
        <v>984078</v>
      </c>
      <c r="D31" s="14">
        <v>1150</v>
      </c>
      <c r="E31" s="84">
        <v>982928</v>
      </c>
      <c r="F31" s="50"/>
    </row>
    <row r="32" spans="1:6" s="16" customFormat="1" ht="16.5" customHeight="1">
      <c r="A32" s="96" t="s">
        <v>112</v>
      </c>
      <c r="B32" s="92" t="s">
        <v>195</v>
      </c>
      <c r="C32" s="93">
        <f t="shared" si="0"/>
        <v>652166</v>
      </c>
      <c r="D32" s="94"/>
      <c r="E32" s="95">
        <v>652166</v>
      </c>
      <c r="F32" s="57"/>
    </row>
    <row r="33" spans="1:6" s="16" customFormat="1" ht="19.5" customHeight="1">
      <c r="A33" s="102" t="s">
        <v>113</v>
      </c>
      <c r="B33" s="98" t="s">
        <v>50</v>
      </c>
      <c r="C33" s="99">
        <f t="shared" si="0"/>
        <v>405688</v>
      </c>
      <c r="D33" s="100">
        <f>SUM(D34:D37)</f>
        <v>76205</v>
      </c>
      <c r="E33" s="101">
        <f>SUM(E34:E37)</f>
        <v>329483</v>
      </c>
      <c r="F33" s="53"/>
    </row>
    <row r="34" spans="1:6" ht="16.5" customHeight="1">
      <c r="A34" s="90" t="s">
        <v>114</v>
      </c>
      <c r="B34" s="86" t="s">
        <v>196</v>
      </c>
      <c r="C34" s="87">
        <f t="shared" si="0"/>
        <v>22369</v>
      </c>
      <c r="D34" s="88">
        <v>22369</v>
      </c>
      <c r="E34" s="89"/>
      <c r="F34" s="50"/>
    </row>
    <row r="35" spans="1:6">
      <c r="A35" s="81" t="s">
        <v>115</v>
      </c>
      <c r="B35" s="13" t="s">
        <v>197</v>
      </c>
      <c r="C35" s="10">
        <f t="shared" si="0"/>
        <v>78961</v>
      </c>
      <c r="D35" s="14">
        <v>38625</v>
      </c>
      <c r="E35" s="84">
        <v>40336</v>
      </c>
      <c r="F35" s="50"/>
    </row>
    <row r="36" spans="1:6">
      <c r="A36" s="81" t="s">
        <v>116</v>
      </c>
      <c r="B36" s="13" t="s">
        <v>198</v>
      </c>
      <c r="C36" s="10">
        <f t="shared" si="0"/>
        <v>263000</v>
      </c>
      <c r="D36" s="14"/>
      <c r="E36" s="84">
        <v>263000</v>
      </c>
      <c r="F36" s="50"/>
    </row>
    <row r="37" spans="1:6" s="16" customFormat="1" ht="16.5" customHeight="1">
      <c r="A37" s="96" t="s">
        <v>117</v>
      </c>
      <c r="B37" s="92" t="s">
        <v>199</v>
      </c>
      <c r="C37" s="93">
        <f t="shared" si="0"/>
        <v>41358</v>
      </c>
      <c r="D37" s="94">
        <v>15211</v>
      </c>
      <c r="E37" s="95">
        <v>26147</v>
      </c>
      <c r="F37" s="57"/>
    </row>
    <row r="38" spans="1:6" s="16" customFormat="1" ht="19.5" customHeight="1">
      <c r="A38" s="102" t="s">
        <v>118</v>
      </c>
      <c r="B38" s="98" t="s">
        <v>10</v>
      </c>
      <c r="C38" s="99">
        <f t="shared" si="0"/>
        <v>9721080</v>
      </c>
      <c r="D38" s="100">
        <f>SUM(D39:D56)</f>
        <v>4576020</v>
      </c>
      <c r="E38" s="101">
        <f>SUM(E39:E56)</f>
        <v>5145060</v>
      </c>
      <c r="F38" s="53"/>
    </row>
    <row r="39" spans="1:6" ht="16.5" customHeight="1">
      <c r="A39" s="90" t="s">
        <v>123</v>
      </c>
      <c r="B39" s="86" t="s">
        <v>223</v>
      </c>
      <c r="C39" s="87">
        <f t="shared" si="0"/>
        <v>1821906</v>
      </c>
      <c r="D39" s="88">
        <v>1821906</v>
      </c>
      <c r="E39" s="89"/>
      <c r="F39" s="50"/>
    </row>
    <row r="40" spans="1:6">
      <c r="A40" s="81" t="s">
        <v>124</v>
      </c>
      <c r="B40" s="13" t="s">
        <v>224</v>
      </c>
      <c r="C40" s="10">
        <f t="shared" si="0"/>
        <v>348138</v>
      </c>
      <c r="D40" s="14">
        <v>348138</v>
      </c>
      <c r="E40" s="84"/>
      <c r="F40" s="50"/>
    </row>
    <row r="41" spans="1:6">
      <c r="A41" s="81" t="s">
        <v>125</v>
      </c>
      <c r="B41" s="13" t="s">
        <v>225</v>
      </c>
      <c r="C41" s="10">
        <f t="shared" si="0"/>
        <v>2043594</v>
      </c>
      <c r="D41" s="14">
        <v>460478</v>
      </c>
      <c r="E41" s="84">
        <v>1583116</v>
      </c>
      <c r="F41" s="50"/>
    </row>
    <row r="42" spans="1:6">
      <c r="A42" s="81" t="s">
        <v>126</v>
      </c>
      <c r="B42" s="13" t="s">
        <v>226</v>
      </c>
      <c r="C42" s="10">
        <f t="shared" si="0"/>
        <v>677151</v>
      </c>
      <c r="D42" s="14">
        <v>189629</v>
      </c>
      <c r="E42" s="84">
        <v>487522</v>
      </c>
      <c r="F42" s="50"/>
    </row>
    <row r="43" spans="1:6">
      <c r="A43" s="81" t="s">
        <v>127</v>
      </c>
      <c r="B43" s="13" t="s">
        <v>227</v>
      </c>
      <c r="C43" s="10">
        <f t="shared" si="0"/>
        <v>70550</v>
      </c>
      <c r="D43" s="14"/>
      <c r="E43" s="84">
        <v>70550</v>
      </c>
      <c r="F43" s="50"/>
    </row>
    <row r="44" spans="1:6">
      <c r="A44" s="81" t="s">
        <v>128</v>
      </c>
      <c r="B44" s="13" t="s">
        <v>228</v>
      </c>
      <c r="C44" s="10">
        <f t="shared" si="0"/>
        <v>51842</v>
      </c>
      <c r="D44" s="14">
        <f>10000+41842</f>
        <v>51842</v>
      </c>
      <c r="E44" s="84"/>
      <c r="F44" s="50"/>
    </row>
    <row r="45" spans="1:6">
      <c r="A45" s="81" t="s">
        <v>129</v>
      </c>
      <c r="B45" s="13" t="s">
        <v>229</v>
      </c>
      <c r="C45" s="10">
        <f t="shared" si="0"/>
        <v>671507</v>
      </c>
      <c r="D45" s="14">
        <v>642180</v>
      </c>
      <c r="E45" s="84">
        <v>29327</v>
      </c>
      <c r="F45" s="50"/>
    </row>
    <row r="46" spans="1:6">
      <c r="A46" s="81" t="s">
        <v>130</v>
      </c>
      <c r="B46" s="13" t="s">
        <v>230</v>
      </c>
      <c r="C46" s="10">
        <f t="shared" si="0"/>
        <v>1696098</v>
      </c>
      <c r="D46" s="14">
        <v>3256</v>
      </c>
      <c r="E46" s="84">
        <v>1692842</v>
      </c>
      <c r="F46" s="50"/>
    </row>
    <row r="47" spans="1:6">
      <c r="A47" s="81" t="s">
        <v>131</v>
      </c>
      <c r="B47" s="13" t="s">
        <v>231</v>
      </c>
      <c r="C47" s="10">
        <f t="shared" si="0"/>
        <v>131136</v>
      </c>
      <c r="D47" s="14"/>
      <c r="E47" s="84">
        <v>131136</v>
      </c>
      <c r="F47" s="50"/>
    </row>
    <row r="48" spans="1:6">
      <c r="A48" s="81" t="s">
        <v>132</v>
      </c>
      <c r="B48" s="13" t="s">
        <v>232</v>
      </c>
      <c r="C48" s="10">
        <f t="shared" si="0"/>
        <v>884105</v>
      </c>
      <c r="D48" s="14">
        <v>28160</v>
      </c>
      <c r="E48" s="84">
        <v>855945</v>
      </c>
      <c r="F48" s="50"/>
    </row>
    <row r="49" spans="1:6">
      <c r="A49" s="81" t="s">
        <v>167</v>
      </c>
      <c r="B49" s="13" t="s">
        <v>233</v>
      </c>
      <c r="C49" s="10">
        <f t="shared" si="0"/>
        <v>92033</v>
      </c>
      <c r="D49" s="14">
        <v>92033</v>
      </c>
      <c r="E49" s="84"/>
      <c r="F49" s="50"/>
    </row>
    <row r="50" spans="1:6">
      <c r="A50" s="81" t="s">
        <v>168</v>
      </c>
      <c r="B50" s="13" t="s">
        <v>234</v>
      </c>
      <c r="C50" s="10">
        <f t="shared" si="0"/>
        <v>22500</v>
      </c>
      <c r="D50" s="14">
        <v>22500</v>
      </c>
      <c r="E50" s="84"/>
      <c r="F50" s="50"/>
    </row>
    <row r="51" spans="1:6">
      <c r="A51" s="81" t="s">
        <v>133</v>
      </c>
      <c r="B51" s="13" t="s">
        <v>235</v>
      </c>
      <c r="C51" s="10">
        <f t="shared" si="0"/>
        <v>76156</v>
      </c>
      <c r="D51" s="14">
        <v>39400</v>
      </c>
      <c r="E51" s="84">
        <v>36756</v>
      </c>
      <c r="F51" s="50"/>
    </row>
    <row r="52" spans="1:6">
      <c r="A52" s="81" t="s">
        <v>134</v>
      </c>
      <c r="B52" s="13" t="s">
        <v>236</v>
      </c>
      <c r="C52" s="10">
        <f t="shared" si="0"/>
        <v>868850</v>
      </c>
      <c r="D52" s="14">
        <v>738350</v>
      </c>
      <c r="E52" s="84">
        <v>130500</v>
      </c>
      <c r="F52" s="50"/>
    </row>
    <row r="53" spans="1:6">
      <c r="A53" s="81" t="s">
        <v>135</v>
      </c>
      <c r="B53" s="13" t="s">
        <v>237</v>
      </c>
      <c r="C53" s="10">
        <f t="shared" si="0"/>
        <v>106913</v>
      </c>
      <c r="D53" s="14">
        <f>4000+102913</f>
        <v>106913</v>
      </c>
      <c r="E53" s="84"/>
      <c r="F53" s="50"/>
    </row>
    <row r="54" spans="1:6">
      <c r="A54" s="81" t="s">
        <v>136</v>
      </c>
      <c r="B54" s="13" t="s">
        <v>238</v>
      </c>
      <c r="C54" s="10">
        <f t="shared" si="0"/>
        <v>9200</v>
      </c>
      <c r="D54" s="14">
        <v>9200</v>
      </c>
      <c r="E54" s="84"/>
      <c r="F54" s="50"/>
    </row>
    <row r="55" spans="1:6">
      <c r="A55" s="81" t="s">
        <v>137</v>
      </c>
      <c r="B55" s="13" t="s">
        <v>239</v>
      </c>
      <c r="C55" s="10">
        <f t="shared" si="0"/>
        <v>6000</v>
      </c>
      <c r="D55" s="14">
        <v>6000</v>
      </c>
      <c r="E55" s="84"/>
      <c r="F55" s="50"/>
    </row>
    <row r="56" spans="1:6" s="16" customFormat="1" ht="16.5" customHeight="1">
      <c r="A56" s="96" t="s">
        <v>138</v>
      </c>
      <c r="B56" s="92" t="s">
        <v>240</v>
      </c>
      <c r="C56" s="93">
        <f t="shared" si="0"/>
        <v>143401</v>
      </c>
      <c r="D56" s="94">
        <v>16035</v>
      </c>
      <c r="E56" s="95">
        <v>127366</v>
      </c>
      <c r="F56" s="57"/>
    </row>
    <row r="57" spans="1:6" s="16" customFormat="1" ht="19.5" customHeight="1">
      <c r="A57" s="102" t="s">
        <v>139</v>
      </c>
      <c r="B57" s="98" t="s">
        <v>6</v>
      </c>
      <c r="C57" s="99">
        <f t="shared" si="0"/>
        <v>61952151</v>
      </c>
      <c r="D57" s="100">
        <f>SUM(D58:D72)</f>
        <v>4572495</v>
      </c>
      <c r="E57" s="101">
        <f>SUM(E58:E72)</f>
        <v>57379656</v>
      </c>
      <c r="F57" s="53"/>
    </row>
    <row r="58" spans="1:6" ht="16.5" customHeight="1">
      <c r="A58" s="90" t="s">
        <v>140</v>
      </c>
      <c r="B58" s="86" t="s">
        <v>209</v>
      </c>
      <c r="C58" s="87">
        <f t="shared" si="0"/>
        <v>22515134</v>
      </c>
      <c r="D58" s="88">
        <v>2983500</v>
      </c>
      <c r="E58" s="89">
        <v>19531634</v>
      </c>
      <c r="F58" s="50"/>
    </row>
    <row r="59" spans="1:6">
      <c r="A59" s="81" t="s">
        <v>142</v>
      </c>
      <c r="B59" s="13" t="s">
        <v>210</v>
      </c>
      <c r="C59" s="10">
        <f t="shared" si="0"/>
        <v>18055295</v>
      </c>
      <c r="D59" s="14"/>
      <c r="E59" s="84">
        <v>18055295</v>
      </c>
      <c r="F59" s="50"/>
    </row>
    <row r="60" spans="1:6">
      <c r="A60" s="81" t="s">
        <v>169</v>
      </c>
      <c r="B60" s="13" t="s">
        <v>211</v>
      </c>
      <c r="C60" s="10">
        <f t="shared" si="0"/>
        <v>4454362</v>
      </c>
      <c r="D60" s="14"/>
      <c r="E60" s="84">
        <v>4454362</v>
      </c>
      <c r="F60" s="50"/>
    </row>
    <row r="61" spans="1:6">
      <c r="A61" s="81" t="s">
        <v>141</v>
      </c>
      <c r="B61" s="13" t="s">
        <v>212</v>
      </c>
      <c r="C61" s="10">
        <f t="shared" si="0"/>
        <v>3494446</v>
      </c>
      <c r="D61" s="14"/>
      <c r="E61" s="84">
        <v>3494446</v>
      </c>
      <c r="F61" s="50"/>
    </row>
    <row r="62" spans="1:6">
      <c r="A62" s="81" t="s">
        <v>143</v>
      </c>
      <c r="B62" s="13" t="s">
        <v>320</v>
      </c>
      <c r="C62" s="10">
        <f t="shared" si="0"/>
        <v>278039</v>
      </c>
      <c r="D62" s="14"/>
      <c r="E62" s="84">
        <v>278039</v>
      </c>
      <c r="F62" s="50"/>
    </row>
    <row r="63" spans="1:6">
      <c r="A63" s="81" t="s">
        <v>144</v>
      </c>
      <c r="B63" s="13" t="s">
        <v>213</v>
      </c>
      <c r="C63" s="10">
        <f t="shared" si="0"/>
        <v>3817563</v>
      </c>
      <c r="D63" s="14">
        <v>5000</v>
      </c>
      <c r="E63" s="84">
        <v>3812563</v>
      </c>
      <c r="F63" s="50"/>
    </row>
    <row r="64" spans="1:6">
      <c r="A64" s="81" t="s">
        <v>170</v>
      </c>
      <c r="B64" s="13" t="s">
        <v>214</v>
      </c>
      <c r="C64" s="10">
        <f t="shared" si="0"/>
        <v>3015544</v>
      </c>
      <c r="D64" s="14">
        <v>953183</v>
      </c>
      <c r="E64" s="84">
        <v>2062361</v>
      </c>
      <c r="F64" s="50"/>
    </row>
    <row r="65" spans="1:6">
      <c r="A65" s="81" t="s">
        <v>171</v>
      </c>
      <c r="B65" s="13" t="s">
        <v>215</v>
      </c>
      <c r="C65" s="10">
        <f t="shared" si="0"/>
        <v>1549677</v>
      </c>
      <c r="D65" s="14">
        <v>378082</v>
      </c>
      <c r="E65" s="84">
        <v>1171595</v>
      </c>
      <c r="F65" s="50"/>
    </row>
    <row r="66" spans="1:6">
      <c r="A66" s="81" t="s">
        <v>145</v>
      </c>
      <c r="B66" s="13" t="s">
        <v>216</v>
      </c>
      <c r="C66" s="10">
        <f t="shared" si="0"/>
        <v>25230</v>
      </c>
      <c r="D66" s="14">
        <v>25230</v>
      </c>
      <c r="E66" s="84"/>
      <c r="F66" s="50"/>
    </row>
    <row r="67" spans="1:6">
      <c r="A67" s="81" t="s">
        <v>146</v>
      </c>
      <c r="B67" s="13" t="s">
        <v>217</v>
      </c>
      <c r="C67" s="10">
        <f t="shared" si="0"/>
        <v>552710</v>
      </c>
      <c r="D67" s="14"/>
      <c r="E67" s="84">
        <v>552710</v>
      </c>
      <c r="F67" s="50"/>
    </row>
    <row r="68" spans="1:6">
      <c r="A68" s="81" t="s">
        <v>157</v>
      </c>
      <c r="B68" s="13" t="s">
        <v>218</v>
      </c>
      <c r="C68" s="10">
        <f t="shared" si="0"/>
        <v>17451</v>
      </c>
      <c r="D68" s="14"/>
      <c r="E68" s="84">
        <v>17451</v>
      </c>
      <c r="F68" s="50"/>
    </row>
    <row r="69" spans="1:6">
      <c r="A69" s="81" t="s">
        <v>147</v>
      </c>
      <c r="B69" s="13" t="s">
        <v>219</v>
      </c>
      <c r="C69" s="10">
        <f t="shared" si="0"/>
        <v>1839744</v>
      </c>
      <c r="D69" s="14"/>
      <c r="E69" s="84">
        <v>1839744</v>
      </c>
      <c r="F69" s="50"/>
    </row>
    <row r="70" spans="1:6">
      <c r="A70" s="81" t="s">
        <v>158</v>
      </c>
      <c r="B70" s="13" t="s">
        <v>220</v>
      </c>
      <c r="C70" s="10">
        <f t="shared" ref="C70:C83" si="1">SUM(D70:E70)</f>
        <v>450192</v>
      </c>
      <c r="D70" s="14"/>
      <c r="E70" s="84">
        <v>450192</v>
      </c>
      <c r="F70" s="50"/>
    </row>
    <row r="71" spans="1:6">
      <c r="A71" s="81" t="s">
        <v>159</v>
      </c>
      <c r="B71" s="13" t="s">
        <v>221</v>
      </c>
      <c r="C71" s="10">
        <f t="shared" si="1"/>
        <v>1137764</v>
      </c>
      <c r="D71" s="14">
        <v>182000</v>
      </c>
      <c r="E71" s="84">
        <f>6000+949764</f>
        <v>955764</v>
      </c>
      <c r="F71" s="50"/>
    </row>
    <row r="72" spans="1:6" s="16" customFormat="1" ht="16.5" customHeight="1">
      <c r="A72" s="96" t="s">
        <v>148</v>
      </c>
      <c r="B72" s="92" t="s">
        <v>222</v>
      </c>
      <c r="C72" s="93">
        <f t="shared" si="1"/>
        <v>749000</v>
      </c>
      <c r="D72" s="94">
        <v>45500</v>
      </c>
      <c r="E72" s="95">
        <v>703500</v>
      </c>
      <c r="F72" s="57"/>
    </row>
    <row r="73" spans="1:6" s="16" customFormat="1" ht="19.5" customHeight="1">
      <c r="A73" s="97">
        <v>10</v>
      </c>
      <c r="B73" s="98" t="s">
        <v>7</v>
      </c>
      <c r="C73" s="99">
        <f t="shared" si="1"/>
        <v>10184205</v>
      </c>
      <c r="D73" s="100">
        <f>SUM(D74:D83)</f>
        <v>5098801</v>
      </c>
      <c r="E73" s="101">
        <f>SUM(E74:E83)</f>
        <v>5085404</v>
      </c>
      <c r="F73" s="53"/>
    </row>
    <row r="74" spans="1:6" ht="16.5" customHeight="1">
      <c r="A74" s="85">
        <v>10120</v>
      </c>
      <c r="B74" s="86" t="s">
        <v>200</v>
      </c>
      <c r="C74" s="87">
        <f t="shared" si="1"/>
        <v>420850</v>
      </c>
      <c r="D74" s="88"/>
      <c r="E74" s="89">
        <v>420850</v>
      </c>
      <c r="F74" s="50"/>
    </row>
    <row r="75" spans="1:6">
      <c r="A75" s="82">
        <v>10121</v>
      </c>
      <c r="B75" s="13" t="s">
        <v>201</v>
      </c>
      <c r="C75" s="10">
        <f t="shared" si="1"/>
        <v>2611874</v>
      </c>
      <c r="D75" s="14">
        <v>1794096</v>
      </c>
      <c r="E75" s="84">
        <v>817778</v>
      </c>
      <c r="F75" s="50"/>
    </row>
    <row r="76" spans="1:6">
      <c r="A76" s="82">
        <v>10200</v>
      </c>
      <c r="B76" s="13" t="s">
        <v>202</v>
      </c>
      <c r="C76" s="10">
        <f t="shared" si="1"/>
        <v>2781978</v>
      </c>
      <c r="D76" s="14"/>
      <c r="E76" s="84">
        <v>2781978</v>
      </c>
      <c r="F76" s="50"/>
    </row>
    <row r="77" spans="1:6">
      <c r="A77" s="82">
        <v>10201</v>
      </c>
      <c r="B77" s="13" t="s">
        <v>39</v>
      </c>
      <c r="C77" s="10">
        <f t="shared" si="1"/>
        <v>62640</v>
      </c>
      <c r="D77" s="14">
        <v>50640</v>
      </c>
      <c r="E77" s="84">
        <v>12000</v>
      </c>
      <c r="F77" s="50"/>
    </row>
    <row r="78" spans="1:6">
      <c r="A78" s="82">
        <v>10400</v>
      </c>
      <c r="B78" s="13" t="s">
        <v>203</v>
      </c>
      <c r="C78" s="10">
        <f t="shared" si="1"/>
        <v>494553</v>
      </c>
      <c r="D78" s="14"/>
      <c r="E78" s="84">
        <v>494553</v>
      </c>
      <c r="F78" s="50"/>
    </row>
    <row r="79" spans="1:6">
      <c r="A79" s="82">
        <v>10402</v>
      </c>
      <c r="B79" s="13" t="s">
        <v>204</v>
      </c>
      <c r="C79" s="10">
        <f t="shared" si="1"/>
        <v>1312876</v>
      </c>
      <c r="D79" s="14">
        <v>1212404</v>
      </c>
      <c r="E79" s="84">
        <v>100472</v>
      </c>
      <c r="F79" s="50"/>
    </row>
    <row r="80" spans="1:6">
      <c r="A80" s="82">
        <v>10700</v>
      </c>
      <c r="B80" s="13" t="s">
        <v>205</v>
      </c>
      <c r="C80" s="10">
        <f t="shared" si="1"/>
        <v>314166</v>
      </c>
      <c r="D80" s="14"/>
      <c r="E80" s="84">
        <v>314166</v>
      </c>
      <c r="F80" s="50"/>
    </row>
    <row r="81" spans="1:6">
      <c r="A81" s="82">
        <v>10701</v>
      </c>
      <c r="B81" s="13" t="s">
        <v>206</v>
      </c>
      <c r="C81" s="10">
        <f t="shared" si="1"/>
        <v>1341696</v>
      </c>
      <c r="D81" s="14">
        <v>1341696</v>
      </c>
      <c r="E81" s="84"/>
      <c r="F81" s="50"/>
    </row>
    <row r="82" spans="1:6">
      <c r="A82" s="82">
        <v>10702</v>
      </c>
      <c r="B82" s="13" t="s">
        <v>207</v>
      </c>
      <c r="C82" s="10">
        <f t="shared" si="1"/>
        <v>826607</v>
      </c>
      <c r="D82" s="14">
        <v>699000</v>
      </c>
      <c r="E82" s="84">
        <v>127607</v>
      </c>
      <c r="F82" s="50"/>
    </row>
    <row r="83" spans="1:6" s="16" customFormat="1" ht="16.5" customHeight="1">
      <c r="A83" s="91">
        <v>10900</v>
      </c>
      <c r="B83" s="92" t="s">
        <v>208</v>
      </c>
      <c r="C83" s="93">
        <f t="shared" si="1"/>
        <v>16965</v>
      </c>
      <c r="D83" s="94">
        <v>965</v>
      </c>
      <c r="E83" s="95">
        <v>16000</v>
      </c>
      <c r="F83" s="57"/>
    </row>
    <row r="85" spans="1:6">
      <c r="B85" s="370"/>
      <c r="C85" s="369"/>
    </row>
  </sheetData>
  <mergeCells count="2">
    <mergeCell ref="B1:C1"/>
    <mergeCell ref="B85:C85"/>
  </mergeCells>
  <pageMargins left="0.70866141732283472" right="0.70866141732283472" top="0.94488188976377963" bottom="0.74803149606299213" header="0.31496062992125984" footer="0.31496062992125984"/>
  <pageSetup paperSize="9" firstPageNumber="3" orientation="portrait" useFirstPageNumber="1" r:id="rId1"/>
  <headerFooter>
    <oddHeader>&amp;RLisa 3
Tartu Linnavolikogu. ....12.2015. a
määruse nr ........ juurde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2"/>
  <sheetViews>
    <sheetView showGridLines="0" showZeros="0" tabSelected="1" zoomScaleNormal="100" workbookViewId="0">
      <pane ySplit="8" topLeftCell="A96" activePane="bottomLeft" state="frozen"/>
      <selection pane="bottomLeft" sqref="A1:XFD1048576"/>
    </sheetView>
  </sheetViews>
  <sheetFormatPr defaultRowHeight="15"/>
  <cols>
    <col min="1" max="1" width="0.85546875" style="7" customWidth="1"/>
    <col min="2" max="2" width="46.7109375" style="9" customWidth="1"/>
    <col min="3" max="3" width="4.42578125" style="221" customWidth="1"/>
    <col min="4" max="4" width="12.28515625" style="8" customWidth="1"/>
    <col min="5" max="5" width="12.85546875" style="4" customWidth="1"/>
    <col min="6" max="6" width="12.28515625" style="4" customWidth="1"/>
    <col min="7" max="7" width="1" style="7" customWidth="1"/>
    <col min="8" max="8" width="9.140625" style="167"/>
    <col min="9" max="16384" width="9.140625" style="4"/>
  </cols>
  <sheetData>
    <row r="1" spans="1:8">
      <c r="B1" s="371" t="s">
        <v>366</v>
      </c>
      <c r="C1" s="371"/>
      <c r="D1" s="371"/>
      <c r="E1" s="371"/>
      <c r="F1" s="371"/>
    </row>
    <row r="2" spans="1:8">
      <c r="B2" s="5"/>
      <c r="C2" s="222"/>
      <c r="D2" s="205"/>
      <c r="E2" s="204"/>
      <c r="F2" s="47" t="s">
        <v>26</v>
      </c>
    </row>
    <row r="3" spans="1:8" s="130" customFormat="1">
      <c r="A3" s="128"/>
      <c r="B3" s="376"/>
      <c r="C3" s="378" t="s">
        <v>367</v>
      </c>
      <c r="D3" s="373" t="s">
        <v>11</v>
      </c>
      <c r="E3" s="373"/>
      <c r="F3" s="374" t="s">
        <v>17</v>
      </c>
      <c r="G3" s="129"/>
      <c r="H3" s="168"/>
    </row>
    <row r="4" spans="1:8" s="130" customFormat="1">
      <c r="A4" s="131"/>
      <c r="B4" s="377"/>
      <c r="C4" s="379"/>
      <c r="D4" s="132" t="s">
        <v>12</v>
      </c>
      <c r="E4" s="133" t="s">
        <v>27</v>
      </c>
      <c r="F4" s="375"/>
      <c r="G4" s="134"/>
      <c r="H4" s="168"/>
    </row>
    <row r="5" spans="1:8" s="130" customFormat="1" ht="19.5" customHeight="1">
      <c r="A5" s="135"/>
      <c r="B5" s="138" t="s">
        <v>368</v>
      </c>
      <c r="C5" s="223"/>
      <c r="D5" s="139">
        <f>SUM(D6:D8)</f>
        <v>16499501</v>
      </c>
      <c r="E5" s="139">
        <f>SUM(E6:E8)</f>
        <v>11881418</v>
      </c>
      <c r="F5" s="140">
        <f>SUM(D5:E5)</f>
        <v>28380919</v>
      </c>
      <c r="G5" s="136"/>
      <c r="H5" s="168"/>
    </row>
    <row r="6" spans="1:8" ht="16.5" customHeight="1">
      <c r="A6" s="106"/>
      <c r="B6" s="137" t="s">
        <v>30</v>
      </c>
      <c r="C6" s="224" t="s">
        <v>71</v>
      </c>
      <c r="D6" s="15">
        <f>SUMIF($C10:$C190,$C6,D10:D190)</f>
        <v>14845384</v>
      </c>
      <c r="E6" s="15">
        <f>SUMIF($C10:$C190,$C6,E10:E190)</f>
        <v>11881418</v>
      </c>
      <c r="F6" s="127">
        <f t="shared" ref="F6:F8" si="0">SUM(D6:E6)</f>
        <v>26726802</v>
      </c>
      <c r="G6" s="107"/>
    </row>
    <row r="7" spans="1:8">
      <c r="A7" s="106"/>
      <c r="B7" s="112" t="s">
        <v>31</v>
      </c>
      <c r="C7" s="225" t="s">
        <v>73</v>
      </c>
      <c r="D7" s="11">
        <f>SUMIF($C10:$C190,$C7,D10:D190)</f>
        <v>900295</v>
      </c>
      <c r="E7" s="11">
        <f>SUMIF($C10:$C190,$C7,E10:E190)</f>
        <v>0</v>
      </c>
      <c r="F7" s="123">
        <f t="shared" si="0"/>
        <v>900295</v>
      </c>
      <c r="G7" s="107"/>
    </row>
    <row r="8" spans="1:8" s="130" customFormat="1" ht="16.5" customHeight="1">
      <c r="A8" s="131"/>
      <c r="B8" s="142" t="s">
        <v>34</v>
      </c>
      <c r="C8" s="226" t="s">
        <v>72</v>
      </c>
      <c r="D8" s="143">
        <f>SUMIF($C10:$C190,$C8,D10:D190)</f>
        <v>753822</v>
      </c>
      <c r="E8" s="143">
        <f>SUMIF($C10:$C190,$C8,E10:E190)</f>
        <v>0</v>
      </c>
      <c r="F8" s="144">
        <f t="shared" si="0"/>
        <v>753822</v>
      </c>
      <c r="G8" s="134"/>
      <c r="H8" s="168"/>
    </row>
    <row r="9" spans="1:8" s="161" customFormat="1" ht="20.25" customHeight="1">
      <c r="A9" s="160"/>
      <c r="B9" s="372" t="s">
        <v>58</v>
      </c>
      <c r="C9" s="372"/>
      <c r="D9" s="372"/>
      <c r="E9" s="372"/>
      <c r="F9" s="372"/>
      <c r="G9" s="160"/>
      <c r="H9" s="169"/>
    </row>
    <row r="10" spans="1:8" s="130" customFormat="1" ht="24" customHeight="1">
      <c r="A10" s="128"/>
      <c r="B10" s="152" t="s">
        <v>369</v>
      </c>
      <c r="C10" s="227"/>
      <c r="D10" s="153">
        <f>SUM(D11,D16)</f>
        <v>945522</v>
      </c>
      <c r="E10" s="153">
        <f>SUM(E11)</f>
        <v>0</v>
      </c>
      <c r="F10" s="140">
        <f>SUM(D10:E10)</f>
        <v>945522</v>
      </c>
      <c r="G10" s="129"/>
      <c r="H10" s="168"/>
    </row>
    <row r="11" spans="1:8" ht="17.25" customHeight="1">
      <c r="A11" s="106"/>
      <c r="B11" s="172" t="s">
        <v>370</v>
      </c>
      <c r="C11" s="228"/>
      <c r="D11" s="155">
        <f>SUM(D12:D15)</f>
        <v>753822</v>
      </c>
      <c r="E11" s="155">
        <f>SUM(E12:E18)</f>
        <v>0</v>
      </c>
      <c r="F11" s="156">
        <f t="shared" ref="F11:F190" si="1">SUM(D11:E11)</f>
        <v>753822</v>
      </c>
      <c r="G11" s="107"/>
    </row>
    <row r="12" spans="1:8" ht="16.5" customHeight="1">
      <c r="A12" s="106"/>
      <c r="B12" s="147" t="s">
        <v>74</v>
      </c>
      <c r="C12" s="229" t="s">
        <v>72</v>
      </c>
      <c r="D12" s="15">
        <v>640000</v>
      </c>
      <c r="E12" s="15"/>
      <c r="F12" s="127">
        <f t="shared" si="1"/>
        <v>640000</v>
      </c>
      <c r="G12" s="107"/>
    </row>
    <row r="13" spans="1:8" ht="30">
      <c r="A13" s="106"/>
      <c r="B13" s="112" t="s">
        <v>120</v>
      </c>
      <c r="C13" s="225" t="s">
        <v>72</v>
      </c>
      <c r="D13" s="11">
        <v>111922</v>
      </c>
      <c r="E13" s="11"/>
      <c r="F13" s="123">
        <f t="shared" si="1"/>
        <v>111922</v>
      </c>
      <c r="G13" s="107"/>
    </row>
    <row r="14" spans="1:8">
      <c r="A14" s="106"/>
      <c r="B14" s="112" t="s">
        <v>150</v>
      </c>
      <c r="C14" s="225" t="s">
        <v>72</v>
      </c>
      <c r="D14" s="11">
        <v>1014</v>
      </c>
      <c r="E14" s="11"/>
      <c r="F14" s="123">
        <f t="shared" si="1"/>
        <v>1014</v>
      </c>
      <c r="G14" s="107"/>
    </row>
    <row r="15" spans="1:8">
      <c r="A15" s="106"/>
      <c r="B15" s="112" t="s">
        <v>151</v>
      </c>
      <c r="C15" s="225" t="s">
        <v>72</v>
      </c>
      <c r="D15" s="11">
        <v>886</v>
      </c>
      <c r="E15" s="11"/>
      <c r="F15" s="123">
        <f t="shared" si="1"/>
        <v>886</v>
      </c>
      <c r="G15" s="107"/>
    </row>
    <row r="16" spans="1:8" ht="17.25" customHeight="1">
      <c r="A16" s="106"/>
      <c r="B16" s="171" t="s">
        <v>250</v>
      </c>
      <c r="C16" s="230"/>
      <c r="D16" s="157">
        <f>SUM(D17:D18)</f>
        <v>191700</v>
      </c>
      <c r="E16" s="157"/>
      <c r="F16" s="158">
        <f t="shared" si="1"/>
        <v>191700</v>
      </c>
      <c r="G16" s="107"/>
    </row>
    <row r="17" spans="1:8" ht="16.5" customHeight="1">
      <c r="A17" s="106"/>
      <c r="B17" s="147" t="s">
        <v>343</v>
      </c>
      <c r="C17" s="229" t="s">
        <v>71</v>
      </c>
      <c r="D17" s="15">
        <v>140000</v>
      </c>
      <c r="E17" s="15"/>
      <c r="F17" s="127">
        <f t="shared" si="1"/>
        <v>140000</v>
      </c>
      <c r="G17" s="107"/>
    </row>
    <row r="18" spans="1:8" s="130" customFormat="1" ht="16.5" customHeight="1">
      <c r="A18" s="131"/>
      <c r="B18" s="142" t="s">
        <v>270</v>
      </c>
      <c r="C18" s="226" t="s">
        <v>71</v>
      </c>
      <c r="D18" s="143">
        <v>51700</v>
      </c>
      <c r="E18" s="143"/>
      <c r="F18" s="144">
        <f t="shared" si="1"/>
        <v>51700</v>
      </c>
      <c r="G18" s="134"/>
      <c r="H18" s="168"/>
    </row>
    <row r="19" spans="1:8" s="130" customFormat="1" ht="22.5" customHeight="1">
      <c r="A19" s="128"/>
      <c r="B19" s="162" t="s">
        <v>372</v>
      </c>
      <c r="C19" s="231"/>
      <c r="D19" s="153">
        <f>SUM(D20,D21,D53,D54,D57)</f>
        <v>7311131</v>
      </c>
      <c r="E19" s="153">
        <f>SUM(E20,E21,E53,E54,E57)</f>
        <v>9447540</v>
      </c>
      <c r="F19" s="140">
        <f t="shared" si="1"/>
        <v>16758671</v>
      </c>
      <c r="G19" s="129"/>
      <c r="H19" s="168"/>
    </row>
    <row r="20" spans="1:8" s="7" customFormat="1" ht="28.5" customHeight="1">
      <c r="A20" s="106"/>
      <c r="B20" s="173" t="s">
        <v>373</v>
      </c>
      <c r="C20" s="232" t="s">
        <v>71</v>
      </c>
      <c r="D20" s="155">
        <v>50000</v>
      </c>
      <c r="E20" s="155">
        <v>0</v>
      </c>
      <c r="F20" s="156">
        <f t="shared" ref="F20" si="2">SUM(D20:E20)</f>
        <v>50000</v>
      </c>
      <c r="G20" s="107"/>
      <c r="H20" s="170"/>
    </row>
    <row r="21" spans="1:8" s="7" customFormat="1" ht="17.25" customHeight="1">
      <c r="A21" s="106"/>
      <c r="B21" s="174" t="s">
        <v>37</v>
      </c>
      <c r="C21" s="233"/>
      <c r="D21" s="164">
        <f>SUM(D22,D39:D41,D51,D52,)</f>
        <v>6801131</v>
      </c>
      <c r="E21" s="164">
        <f>SUM(E22,E39:E41,E51,E52,)</f>
        <v>9447540</v>
      </c>
      <c r="F21" s="158">
        <f t="shared" si="1"/>
        <v>16248671</v>
      </c>
      <c r="G21" s="107"/>
      <c r="H21" s="170"/>
    </row>
    <row r="22" spans="1:8" ht="17.25" customHeight="1">
      <c r="A22" s="106"/>
      <c r="B22" s="175" t="s">
        <v>14</v>
      </c>
      <c r="C22" s="232"/>
      <c r="D22" s="121">
        <f>SUM(D23:D38)</f>
        <v>4015000</v>
      </c>
      <c r="E22" s="121">
        <f>SUM(E23:E38)</f>
        <v>6700000</v>
      </c>
      <c r="F22" s="122">
        <f t="shared" si="1"/>
        <v>10715000</v>
      </c>
      <c r="G22" s="107"/>
    </row>
    <row r="23" spans="1:8">
      <c r="A23" s="106"/>
      <c r="B23" s="105" t="s">
        <v>290</v>
      </c>
      <c r="C23" s="234" t="s">
        <v>71</v>
      </c>
      <c r="D23" s="11">
        <v>400000</v>
      </c>
      <c r="E23" s="11">
        <v>3400000</v>
      </c>
      <c r="F23" s="123">
        <f t="shared" si="1"/>
        <v>3800000</v>
      </c>
      <c r="G23" s="107"/>
    </row>
    <row r="24" spans="1:8">
      <c r="A24" s="106"/>
      <c r="B24" s="105" t="s">
        <v>282</v>
      </c>
      <c r="C24" s="234" t="s">
        <v>71</v>
      </c>
      <c r="D24" s="11">
        <v>420000</v>
      </c>
      <c r="E24" s="11">
        <v>2800000</v>
      </c>
      <c r="F24" s="123">
        <f t="shared" si="1"/>
        <v>3220000</v>
      </c>
      <c r="G24" s="107"/>
    </row>
    <row r="25" spans="1:8">
      <c r="A25" s="106"/>
      <c r="B25" s="105" t="s">
        <v>283</v>
      </c>
      <c r="C25" s="234" t="s">
        <v>71</v>
      </c>
      <c r="D25" s="11">
        <v>1030000</v>
      </c>
      <c r="E25" s="11"/>
      <c r="F25" s="123">
        <f t="shared" ref="F25" si="3">SUM(D25:E25)</f>
        <v>1030000</v>
      </c>
      <c r="G25" s="107"/>
    </row>
    <row r="26" spans="1:8">
      <c r="A26" s="106"/>
      <c r="B26" s="105" t="s">
        <v>284</v>
      </c>
      <c r="C26" s="234" t="s">
        <v>71</v>
      </c>
      <c r="D26" s="11">
        <v>500000</v>
      </c>
      <c r="E26" s="11">
        <v>500000</v>
      </c>
      <c r="F26" s="123">
        <f t="shared" ref="F26" si="4">SUM(D26:E26)</f>
        <v>1000000</v>
      </c>
      <c r="G26" s="107"/>
    </row>
    <row r="27" spans="1:8">
      <c r="A27" s="106"/>
      <c r="B27" s="105" t="s">
        <v>289</v>
      </c>
      <c r="C27" s="234" t="s">
        <v>71</v>
      </c>
      <c r="D27" s="11">
        <v>450000</v>
      </c>
      <c r="E27" s="11"/>
      <c r="F27" s="123">
        <f t="shared" si="1"/>
        <v>450000</v>
      </c>
      <c r="G27" s="107"/>
    </row>
    <row r="28" spans="1:8">
      <c r="A28" s="106"/>
      <c r="B28" s="105" t="s">
        <v>288</v>
      </c>
      <c r="C28" s="234" t="s">
        <v>71</v>
      </c>
      <c r="D28" s="11">
        <v>250000</v>
      </c>
      <c r="E28" s="11"/>
      <c r="F28" s="123">
        <f t="shared" si="1"/>
        <v>250000</v>
      </c>
      <c r="G28" s="107"/>
    </row>
    <row r="29" spans="1:8">
      <c r="A29" s="106"/>
      <c r="B29" s="105" t="s">
        <v>285</v>
      </c>
      <c r="C29" s="234" t="s">
        <v>71</v>
      </c>
      <c r="D29" s="11">
        <v>160000</v>
      </c>
      <c r="E29" s="11"/>
      <c r="F29" s="123">
        <f t="shared" si="1"/>
        <v>160000</v>
      </c>
      <c r="G29" s="107"/>
    </row>
    <row r="30" spans="1:8">
      <c r="A30" s="106"/>
      <c r="B30" s="105" t="s">
        <v>292</v>
      </c>
      <c r="C30" s="234" t="s">
        <v>71</v>
      </c>
      <c r="D30" s="11">
        <v>100000</v>
      </c>
      <c r="E30" s="11"/>
      <c r="F30" s="123">
        <f t="shared" si="1"/>
        <v>100000</v>
      </c>
      <c r="G30" s="107"/>
    </row>
    <row r="31" spans="1:8" ht="30">
      <c r="A31" s="106"/>
      <c r="B31" s="105" t="s">
        <v>342</v>
      </c>
      <c r="C31" s="234" t="s">
        <v>71</v>
      </c>
      <c r="D31" s="11">
        <v>100000</v>
      </c>
      <c r="E31" s="11"/>
      <c r="F31" s="123">
        <f t="shared" si="1"/>
        <v>100000</v>
      </c>
      <c r="G31" s="107"/>
    </row>
    <row r="32" spans="1:8">
      <c r="A32" s="106"/>
      <c r="B32" s="105" t="s">
        <v>291</v>
      </c>
      <c r="C32" s="234" t="s">
        <v>71</v>
      </c>
      <c r="D32" s="11">
        <v>80000</v>
      </c>
      <c r="E32" s="11"/>
      <c r="F32" s="123">
        <f t="shared" si="1"/>
        <v>80000</v>
      </c>
      <c r="G32" s="107"/>
    </row>
    <row r="33" spans="1:8">
      <c r="A33" s="106"/>
      <c r="B33" s="105" t="s">
        <v>287</v>
      </c>
      <c r="C33" s="234" t="s">
        <v>71</v>
      </c>
      <c r="D33" s="11">
        <v>60000</v>
      </c>
      <c r="E33" s="11"/>
      <c r="F33" s="123">
        <f t="shared" si="1"/>
        <v>60000</v>
      </c>
      <c r="G33" s="107"/>
    </row>
    <row r="34" spans="1:8" ht="30">
      <c r="A34" s="106"/>
      <c r="B34" s="105" t="s">
        <v>304</v>
      </c>
      <c r="C34" s="234" t="s">
        <v>73</v>
      </c>
      <c r="D34" s="11">
        <v>45000</v>
      </c>
      <c r="E34" s="11"/>
      <c r="F34" s="123">
        <f t="shared" si="1"/>
        <v>45000</v>
      </c>
      <c r="G34" s="107"/>
    </row>
    <row r="35" spans="1:8" ht="30">
      <c r="A35" s="106"/>
      <c r="B35" s="105" t="s">
        <v>286</v>
      </c>
      <c r="C35" s="234" t="s">
        <v>73</v>
      </c>
      <c r="D35" s="11">
        <v>10000</v>
      </c>
      <c r="E35" s="11"/>
      <c r="F35" s="123">
        <f t="shared" si="1"/>
        <v>10000</v>
      </c>
      <c r="G35" s="107"/>
    </row>
    <row r="36" spans="1:8">
      <c r="A36" s="106"/>
      <c r="B36" s="105" t="s">
        <v>293</v>
      </c>
      <c r="C36" s="234" t="s">
        <v>71</v>
      </c>
      <c r="D36" s="11">
        <v>300000</v>
      </c>
      <c r="E36" s="11"/>
      <c r="F36" s="123">
        <f t="shared" si="1"/>
        <v>300000</v>
      </c>
      <c r="G36" s="107"/>
    </row>
    <row r="37" spans="1:8">
      <c r="A37" s="106"/>
      <c r="B37" s="114" t="s">
        <v>295</v>
      </c>
      <c r="C37" s="234" t="s">
        <v>71</v>
      </c>
      <c r="D37" s="11">
        <v>60000</v>
      </c>
      <c r="E37" s="11"/>
      <c r="F37" s="123">
        <f t="shared" si="1"/>
        <v>60000</v>
      </c>
      <c r="G37" s="107"/>
    </row>
    <row r="38" spans="1:8">
      <c r="A38" s="106"/>
      <c r="B38" s="105" t="s">
        <v>294</v>
      </c>
      <c r="C38" s="234" t="s">
        <v>71</v>
      </c>
      <c r="D38" s="11">
        <v>50000</v>
      </c>
      <c r="E38" s="11"/>
      <c r="F38" s="123">
        <f t="shared" si="1"/>
        <v>50000</v>
      </c>
      <c r="G38" s="107"/>
    </row>
    <row r="39" spans="1:8">
      <c r="A39" s="106"/>
      <c r="B39" s="176" t="s">
        <v>75</v>
      </c>
      <c r="C39" s="234" t="s">
        <v>71</v>
      </c>
      <c r="D39" s="12">
        <v>164000</v>
      </c>
      <c r="E39" s="12"/>
      <c r="F39" s="125">
        <f t="shared" si="1"/>
        <v>164000</v>
      </c>
      <c r="G39" s="107"/>
    </row>
    <row r="40" spans="1:8">
      <c r="A40" s="106"/>
      <c r="B40" s="176" t="s">
        <v>76</v>
      </c>
      <c r="C40" s="234" t="s">
        <v>71</v>
      </c>
      <c r="D40" s="12">
        <v>1320000</v>
      </c>
      <c r="E40" s="12"/>
      <c r="F40" s="125">
        <f t="shared" si="1"/>
        <v>1320000</v>
      </c>
      <c r="G40" s="107"/>
    </row>
    <row r="41" spans="1:8">
      <c r="A41" s="106"/>
      <c r="B41" s="176" t="s">
        <v>374</v>
      </c>
      <c r="C41" s="234" t="s">
        <v>71</v>
      </c>
      <c r="D41" s="12">
        <f>SUM(D42:D50)</f>
        <v>1002131</v>
      </c>
      <c r="E41" s="12">
        <f>SUM(E42:E50)</f>
        <v>2747540</v>
      </c>
      <c r="F41" s="125">
        <f t="shared" si="1"/>
        <v>3749671</v>
      </c>
      <c r="G41" s="107"/>
    </row>
    <row r="42" spans="1:8">
      <c r="A42" s="106"/>
      <c r="B42" s="114" t="s">
        <v>296</v>
      </c>
      <c r="C42" s="233"/>
      <c r="D42" s="11">
        <v>162486</v>
      </c>
      <c r="E42" s="11">
        <v>1083240</v>
      </c>
      <c r="F42" s="123">
        <f t="shared" ref="F42:F47" si="5">SUM(D42:E42)</f>
        <v>1245726</v>
      </c>
      <c r="G42" s="107"/>
    </row>
    <row r="43" spans="1:8">
      <c r="A43" s="106"/>
      <c r="B43" s="114" t="s">
        <v>297</v>
      </c>
      <c r="C43" s="235"/>
      <c r="D43" s="11">
        <v>133059</v>
      </c>
      <c r="E43" s="11">
        <v>887060</v>
      </c>
      <c r="F43" s="123">
        <f t="shared" si="5"/>
        <v>1020119</v>
      </c>
      <c r="G43" s="107"/>
    </row>
    <row r="44" spans="1:8">
      <c r="A44" s="106"/>
      <c r="B44" s="114" t="s">
        <v>298</v>
      </c>
      <c r="C44" s="235"/>
      <c r="D44" s="11">
        <v>116586</v>
      </c>
      <c r="E44" s="11">
        <v>777240</v>
      </c>
      <c r="F44" s="123">
        <f t="shared" si="5"/>
        <v>893826</v>
      </c>
      <c r="G44" s="107"/>
    </row>
    <row r="45" spans="1:8">
      <c r="A45" s="106"/>
      <c r="B45" s="114" t="s">
        <v>299</v>
      </c>
      <c r="C45" s="235"/>
      <c r="D45" s="17">
        <v>130000</v>
      </c>
      <c r="E45" s="17"/>
      <c r="F45" s="126">
        <f t="shared" si="5"/>
        <v>130000</v>
      </c>
      <c r="G45" s="107"/>
      <c r="H45" s="4"/>
    </row>
    <row r="46" spans="1:8">
      <c r="A46" s="106"/>
      <c r="B46" s="115" t="s">
        <v>301</v>
      </c>
      <c r="C46" s="235"/>
      <c r="D46" s="17">
        <v>90000</v>
      </c>
      <c r="E46" s="17"/>
      <c r="F46" s="126">
        <f t="shared" si="5"/>
        <v>90000</v>
      </c>
      <c r="G46" s="107"/>
      <c r="H46" s="4"/>
    </row>
    <row r="47" spans="1:8">
      <c r="A47" s="106"/>
      <c r="B47" s="114" t="s">
        <v>302</v>
      </c>
      <c r="C47" s="235"/>
      <c r="D47" s="17">
        <v>80000</v>
      </c>
      <c r="E47" s="17"/>
      <c r="F47" s="126">
        <f t="shared" si="5"/>
        <v>80000</v>
      </c>
      <c r="G47" s="107"/>
      <c r="H47" s="4"/>
    </row>
    <row r="48" spans="1:8">
      <c r="A48" s="106"/>
      <c r="B48" s="114" t="s">
        <v>300</v>
      </c>
      <c r="C48" s="235"/>
      <c r="D48" s="17">
        <v>70000</v>
      </c>
      <c r="E48" s="17"/>
      <c r="F48" s="126">
        <f t="shared" si="1"/>
        <v>70000</v>
      </c>
      <c r="G48" s="107"/>
      <c r="H48" s="4"/>
    </row>
    <row r="49" spans="1:8">
      <c r="A49" s="106"/>
      <c r="B49" s="114" t="s">
        <v>303</v>
      </c>
      <c r="C49" s="235"/>
      <c r="D49" s="17">
        <v>70000</v>
      </c>
      <c r="E49" s="17"/>
      <c r="F49" s="126">
        <f t="shared" si="1"/>
        <v>70000</v>
      </c>
      <c r="G49" s="107"/>
      <c r="H49" s="4"/>
    </row>
    <row r="50" spans="1:8">
      <c r="A50" s="106"/>
      <c r="B50" s="114" t="s">
        <v>293</v>
      </c>
      <c r="C50" s="235"/>
      <c r="D50" s="11">
        <v>150000</v>
      </c>
      <c r="E50" s="11"/>
      <c r="F50" s="123">
        <f t="shared" si="1"/>
        <v>150000</v>
      </c>
      <c r="G50" s="107"/>
      <c r="H50" s="4"/>
    </row>
    <row r="51" spans="1:8">
      <c r="A51" s="106"/>
      <c r="B51" s="113" t="s">
        <v>77</v>
      </c>
      <c r="C51" s="232" t="s">
        <v>71</v>
      </c>
      <c r="D51" s="12">
        <v>200000</v>
      </c>
      <c r="E51" s="12"/>
      <c r="F51" s="125">
        <f t="shared" si="1"/>
        <v>200000</v>
      </c>
      <c r="G51" s="107"/>
    </row>
    <row r="52" spans="1:8">
      <c r="A52" s="106"/>
      <c r="B52" s="113" t="s">
        <v>35</v>
      </c>
      <c r="C52" s="234" t="s">
        <v>71</v>
      </c>
      <c r="D52" s="12">
        <v>100000</v>
      </c>
      <c r="E52" s="12"/>
      <c r="F52" s="125">
        <f t="shared" si="1"/>
        <v>100000</v>
      </c>
      <c r="G52" s="107"/>
    </row>
    <row r="53" spans="1:8" s="187" customFormat="1" ht="31.5" customHeight="1">
      <c r="A53" s="182"/>
      <c r="B53" s="165" t="s">
        <v>375</v>
      </c>
      <c r="C53" s="233" t="s">
        <v>71</v>
      </c>
      <c r="D53" s="183">
        <v>45000</v>
      </c>
      <c r="E53" s="183">
        <v>0</v>
      </c>
      <c r="F53" s="184">
        <f t="shared" si="1"/>
        <v>45000</v>
      </c>
      <c r="G53" s="185"/>
      <c r="H53" s="186"/>
    </row>
    <row r="54" spans="1:8" s="187" customFormat="1" ht="19.5" customHeight="1">
      <c r="A54" s="182"/>
      <c r="B54" s="166" t="s">
        <v>78</v>
      </c>
      <c r="C54" s="236"/>
      <c r="D54" s="183">
        <f>SUM(D55:D56)</f>
        <v>110000</v>
      </c>
      <c r="E54" s="183">
        <f>SUM(E55:E56)</f>
        <v>0</v>
      </c>
      <c r="F54" s="184">
        <f t="shared" si="1"/>
        <v>110000</v>
      </c>
      <c r="G54" s="185"/>
      <c r="H54" s="186"/>
    </row>
    <row r="55" spans="1:8" s="6" customFormat="1" ht="30" customHeight="1">
      <c r="A55" s="182"/>
      <c r="B55" s="118" t="s">
        <v>149</v>
      </c>
      <c r="C55" s="232" t="s">
        <v>73</v>
      </c>
      <c r="D55" s="188">
        <v>85000</v>
      </c>
      <c r="E55" s="188"/>
      <c r="F55" s="189">
        <f t="shared" si="1"/>
        <v>85000</v>
      </c>
      <c r="G55" s="185"/>
      <c r="H55" s="190"/>
    </row>
    <row r="56" spans="1:8" s="6" customFormat="1" ht="30">
      <c r="A56" s="182"/>
      <c r="B56" s="105" t="s">
        <v>305</v>
      </c>
      <c r="C56" s="234" t="s">
        <v>73</v>
      </c>
      <c r="D56" s="191">
        <v>25000</v>
      </c>
      <c r="E56" s="191"/>
      <c r="F56" s="192">
        <f t="shared" si="1"/>
        <v>25000</v>
      </c>
      <c r="G56" s="185"/>
      <c r="H56" s="190"/>
    </row>
    <row r="57" spans="1:8" s="7" customFormat="1" ht="17.25" customHeight="1">
      <c r="A57" s="106"/>
      <c r="B57" s="163" t="s">
        <v>36</v>
      </c>
      <c r="C57" s="233"/>
      <c r="D57" s="157">
        <f>SUM(D58:D62)</f>
        <v>305000</v>
      </c>
      <c r="E57" s="157">
        <f>SUM(E58:E62)</f>
        <v>0</v>
      </c>
      <c r="F57" s="158">
        <f t="shared" si="1"/>
        <v>305000</v>
      </c>
      <c r="G57" s="107"/>
      <c r="H57" s="170"/>
    </row>
    <row r="58" spans="1:8" ht="30">
      <c r="A58" s="106"/>
      <c r="B58" s="118" t="s">
        <v>322</v>
      </c>
      <c r="C58" s="232" t="s">
        <v>71</v>
      </c>
      <c r="D58" s="15">
        <v>120000</v>
      </c>
      <c r="E58" s="15"/>
      <c r="F58" s="127">
        <f t="shared" si="1"/>
        <v>120000</v>
      </c>
      <c r="G58" s="107"/>
    </row>
    <row r="59" spans="1:8">
      <c r="A59" s="106"/>
      <c r="B59" s="105" t="s">
        <v>79</v>
      </c>
      <c r="C59" s="234" t="s">
        <v>71</v>
      </c>
      <c r="D59" s="11">
        <v>50000</v>
      </c>
      <c r="E59" s="11"/>
      <c r="F59" s="123">
        <f t="shared" si="1"/>
        <v>50000</v>
      </c>
      <c r="G59" s="107"/>
    </row>
    <row r="60" spans="1:8">
      <c r="A60" s="106"/>
      <c r="B60" s="105" t="s">
        <v>80</v>
      </c>
      <c r="C60" s="234" t="s">
        <v>71</v>
      </c>
      <c r="D60" s="11">
        <v>50000</v>
      </c>
      <c r="E60" s="11"/>
      <c r="F60" s="123">
        <f t="shared" si="1"/>
        <v>50000</v>
      </c>
      <c r="G60" s="107"/>
    </row>
    <row r="61" spans="1:8">
      <c r="A61" s="106"/>
      <c r="B61" s="105" t="s">
        <v>306</v>
      </c>
      <c r="C61" s="234" t="s">
        <v>71</v>
      </c>
      <c r="D61" s="11">
        <v>70000</v>
      </c>
      <c r="E61" s="11"/>
      <c r="F61" s="123">
        <f t="shared" si="1"/>
        <v>70000</v>
      </c>
      <c r="G61" s="107"/>
    </row>
    <row r="62" spans="1:8">
      <c r="A62" s="108"/>
      <c r="B62" s="117" t="s">
        <v>323</v>
      </c>
      <c r="C62" s="237" t="s">
        <v>71</v>
      </c>
      <c r="D62" s="109">
        <v>15000</v>
      </c>
      <c r="E62" s="109"/>
      <c r="F62" s="124">
        <f t="shared" si="1"/>
        <v>15000</v>
      </c>
      <c r="G62" s="110"/>
    </row>
    <row r="63" spans="1:8" s="141" customFormat="1" ht="24" customHeight="1">
      <c r="A63" s="128"/>
      <c r="B63" s="152" t="s">
        <v>376</v>
      </c>
      <c r="C63" s="227"/>
      <c r="D63" s="153">
        <f>SUM(D64,D65,D66,D75)</f>
        <v>275213</v>
      </c>
      <c r="E63" s="153">
        <f>SUM(E64,E65,E66,E75)</f>
        <v>162328</v>
      </c>
      <c r="F63" s="140">
        <f t="shared" si="1"/>
        <v>437541</v>
      </c>
      <c r="G63" s="129"/>
      <c r="H63" s="180"/>
    </row>
    <row r="64" spans="1:8" s="141" customFormat="1" ht="30">
      <c r="A64" s="135"/>
      <c r="B64" s="146" t="s">
        <v>377</v>
      </c>
      <c r="C64" s="238" t="s">
        <v>73</v>
      </c>
      <c r="D64" s="198">
        <v>32000</v>
      </c>
      <c r="E64" s="198">
        <v>0</v>
      </c>
      <c r="F64" s="199">
        <f t="shared" si="1"/>
        <v>32000</v>
      </c>
      <c r="G64" s="136"/>
      <c r="H64" s="180"/>
    </row>
    <row r="65" spans="1:8" s="159" customFormat="1" ht="18" customHeight="1">
      <c r="A65" s="200"/>
      <c r="B65" s="201" t="s">
        <v>378</v>
      </c>
      <c r="C65" s="238" t="s">
        <v>73</v>
      </c>
      <c r="D65" s="178">
        <v>12000</v>
      </c>
      <c r="E65" s="178">
        <v>0</v>
      </c>
      <c r="F65" s="179">
        <f t="shared" si="1"/>
        <v>12000</v>
      </c>
      <c r="G65" s="202"/>
      <c r="H65" s="203"/>
    </row>
    <row r="66" spans="1:8" s="7" customFormat="1" ht="18" customHeight="1">
      <c r="A66" s="106"/>
      <c r="B66" s="194" t="s">
        <v>81</v>
      </c>
      <c r="C66" s="239"/>
      <c r="D66" s="157">
        <f>SUM(D67:D74)</f>
        <v>231213</v>
      </c>
      <c r="E66" s="157">
        <f>SUM(E67:E74)</f>
        <v>124646</v>
      </c>
      <c r="F66" s="158">
        <f t="shared" ref="F66:F75" si="6">SUM(D66:E66)</f>
        <v>355859</v>
      </c>
      <c r="G66" s="107"/>
      <c r="H66" s="170"/>
    </row>
    <row r="67" spans="1:8" ht="16.5" customHeight="1">
      <c r="A67" s="106"/>
      <c r="B67" s="137" t="s">
        <v>263</v>
      </c>
      <c r="C67" s="229" t="s">
        <v>73</v>
      </c>
      <c r="D67" s="15">
        <v>6500</v>
      </c>
      <c r="E67" s="15"/>
      <c r="F67" s="127">
        <f t="shared" si="6"/>
        <v>6500</v>
      </c>
      <c r="G67" s="107"/>
    </row>
    <row r="68" spans="1:8">
      <c r="A68" s="106"/>
      <c r="B68" s="111" t="s">
        <v>260</v>
      </c>
      <c r="C68" s="225" t="s">
        <v>71</v>
      </c>
      <c r="D68" s="11">
        <v>16713</v>
      </c>
      <c r="E68" s="11">
        <v>124646</v>
      </c>
      <c r="F68" s="123">
        <f t="shared" si="6"/>
        <v>141359</v>
      </c>
      <c r="G68" s="107"/>
    </row>
    <row r="69" spans="1:8">
      <c r="A69" s="106"/>
      <c r="B69" s="111" t="s">
        <v>261</v>
      </c>
      <c r="C69" s="225" t="s">
        <v>71</v>
      </c>
      <c r="D69" s="11">
        <v>45000</v>
      </c>
      <c r="E69" s="11"/>
      <c r="F69" s="123">
        <f t="shared" si="6"/>
        <v>45000</v>
      </c>
      <c r="G69" s="107"/>
    </row>
    <row r="70" spans="1:8">
      <c r="A70" s="106"/>
      <c r="B70" s="111" t="s">
        <v>340</v>
      </c>
      <c r="C70" s="225" t="s">
        <v>71</v>
      </c>
      <c r="D70" s="11">
        <v>25000</v>
      </c>
      <c r="E70" s="11"/>
      <c r="F70" s="123">
        <f t="shared" si="6"/>
        <v>25000</v>
      </c>
      <c r="G70" s="107"/>
    </row>
    <row r="71" spans="1:8">
      <c r="A71" s="106"/>
      <c r="B71" s="111" t="s">
        <v>262</v>
      </c>
      <c r="C71" s="225" t="s">
        <v>71</v>
      </c>
      <c r="D71" s="11">
        <v>15000</v>
      </c>
      <c r="E71" s="11"/>
      <c r="F71" s="123">
        <f t="shared" si="6"/>
        <v>15000</v>
      </c>
      <c r="G71" s="107"/>
    </row>
    <row r="72" spans="1:8">
      <c r="A72" s="106"/>
      <c r="B72" s="111" t="s">
        <v>264</v>
      </c>
      <c r="C72" s="225" t="s">
        <v>71</v>
      </c>
      <c r="D72" s="11">
        <v>35000</v>
      </c>
      <c r="E72" s="11"/>
      <c r="F72" s="123">
        <f t="shared" si="6"/>
        <v>35000</v>
      </c>
      <c r="G72" s="107"/>
    </row>
    <row r="73" spans="1:8">
      <c r="A73" s="106"/>
      <c r="B73" s="111" t="s">
        <v>265</v>
      </c>
      <c r="C73" s="225" t="s">
        <v>71</v>
      </c>
      <c r="D73" s="11">
        <v>15000</v>
      </c>
      <c r="E73" s="11"/>
      <c r="F73" s="123">
        <f t="shared" si="6"/>
        <v>15000</v>
      </c>
      <c r="G73" s="107"/>
    </row>
    <row r="74" spans="1:8" s="130" customFormat="1" ht="16.5" customHeight="1">
      <c r="A74" s="135"/>
      <c r="B74" s="149" t="s">
        <v>266</v>
      </c>
      <c r="C74" s="240" t="s">
        <v>71</v>
      </c>
      <c r="D74" s="150">
        <v>73000</v>
      </c>
      <c r="E74" s="150"/>
      <c r="F74" s="151">
        <f t="shared" si="6"/>
        <v>73000</v>
      </c>
      <c r="G74" s="136"/>
      <c r="H74" s="168"/>
    </row>
    <row r="75" spans="1:8" s="141" customFormat="1" ht="30.75" customHeight="1">
      <c r="A75" s="131"/>
      <c r="B75" s="195" t="s">
        <v>379</v>
      </c>
      <c r="C75" s="241" t="s">
        <v>71</v>
      </c>
      <c r="D75" s="196">
        <v>0</v>
      </c>
      <c r="E75" s="196">
        <v>37682</v>
      </c>
      <c r="F75" s="197">
        <f t="shared" si="6"/>
        <v>37682</v>
      </c>
      <c r="G75" s="134"/>
      <c r="H75" s="180"/>
    </row>
    <row r="76" spans="1:8" s="141" customFormat="1" ht="24" customHeight="1">
      <c r="A76" s="128"/>
      <c r="B76" s="152" t="s">
        <v>380</v>
      </c>
      <c r="C76" s="227"/>
      <c r="D76" s="153">
        <f>SUM(D77,D86,D92)</f>
        <v>613000</v>
      </c>
      <c r="E76" s="153">
        <f>SUM(E77,E86,E92)</f>
        <v>0</v>
      </c>
      <c r="F76" s="140">
        <f t="shared" si="1"/>
        <v>613000</v>
      </c>
      <c r="G76" s="129"/>
      <c r="H76" s="180"/>
    </row>
    <row r="77" spans="1:8" s="7" customFormat="1" ht="17.25" customHeight="1">
      <c r="A77" s="106"/>
      <c r="B77" s="207" t="s">
        <v>15</v>
      </c>
      <c r="C77" s="235"/>
      <c r="D77" s="155">
        <f>SUM(D78:D79)</f>
        <v>340000</v>
      </c>
      <c r="E77" s="155">
        <f>SUM(E78:E79)</f>
        <v>0</v>
      </c>
      <c r="F77" s="156">
        <f t="shared" si="1"/>
        <v>340000</v>
      </c>
      <c r="G77" s="107"/>
      <c r="H77" s="170"/>
    </row>
    <row r="78" spans="1:8" ht="16.5" customHeight="1">
      <c r="A78" s="106"/>
      <c r="B78" s="118" t="s">
        <v>16</v>
      </c>
      <c r="C78" s="232" t="s">
        <v>71</v>
      </c>
      <c r="D78" s="15">
        <v>60000</v>
      </c>
      <c r="E78" s="121"/>
      <c r="F78" s="127">
        <f t="shared" si="1"/>
        <v>60000</v>
      </c>
      <c r="G78" s="107"/>
    </row>
    <row r="79" spans="1:8">
      <c r="A79" s="106"/>
      <c r="B79" s="165" t="s">
        <v>338</v>
      </c>
      <c r="C79" s="233" t="s">
        <v>71</v>
      </c>
      <c r="D79" s="216">
        <v>280000</v>
      </c>
      <c r="E79" s="218"/>
      <c r="F79" s="217">
        <f t="shared" si="1"/>
        <v>280000</v>
      </c>
      <c r="G79" s="107"/>
    </row>
    <row r="80" spans="1:8" s="211" customFormat="1" ht="13.5">
      <c r="A80" s="208"/>
      <c r="B80" s="212" t="s">
        <v>353</v>
      </c>
      <c r="C80" s="242"/>
      <c r="D80" s="213"/>
      <c r="E80" s="214"/>
      <c r="F80" s="215"/>
      <c r="G80" s="209"/>
      <c r="H80" s="210"/>
    </row>
    <row r="81" spans="1:8" s="211" customFormat="1" ht="13.5">
      <c r="A81" s="208"/>
      <c r="B81" s="212" t="s">
        <v>324</v>
      </c>
      <c r="C81" s="242"/>
      <c r="D81" s="213"/>
      <c r="E81" s="214"/>
      <c r="F81" s="215"/>
      <c r="G81" s="209"/>
      <c r="H81" s="210"/>
    </row>
    <row r="82" spans="1:8" s="211" customFormat="1" ht="13.5">
      <c r="A82" s="208"/>
      <c r="B82" s="212" t="s">
        <v>325</v>
      </c>
      <c r="C82" s="242"/>
      <c r="D82" s="213"/>
      <c r="E82" s="214"/>
      <c r="F82" s="215"/>
      <c r="G82" s="209"/>
      <c r="H82" s="210"/>
    </row>
    <row r="83" spans="1:8" s="211" customFormat="1" ht="13.5">
      <c r="A83" s="208"/>
      <c r="B83" s="212" t="s">
        <v>326</v>
      </c>
      <c r="C83" s="242"/>
      <c r="D83" s="213"/>
      <c r="E83" s="214"/>
      <c r="F83" s="215"/>
      <c r="G83" s="209"/>
      <c r="H83" s="210"/>
    </row>
    <row r="84" spans="1:8" s="211" customFormat="1" ht="13.5">
      <c r="A84" s="208"/>
      <c r="B84" s="212" t="s">
        <v>327</v>
      </c>
      <c r="C84" s="242"/>
      <c r="D84" s="213"/>
      <c r="E84" s="214"/>
      <c r="F84" s="215"/>
      <c r="G84" s="209"/>
      <c r="H84" s="210"/>
    </row>
    <row r="85" spans="1:8" ht="13.5" customHeight="1">
      <c r="A85" s="106"/>
      <c r="B85" s="212" t="s">
        <v>252</v>
      </c>
      <c r="C85" s="232"/>
      <c r="D85" s="15"/>
      <c r="E85" s="121"/>
      <c r="F85" s="127"/>
      <c r="G85" s="107"/>
    </row>
    <row r="86" spans="1:8" s="7" customFormat="1" ht="17.25" customHeight="1">
      <c r="A86" s="106"/>
      <c r="B86" s="163" t="s">
        <v>28</v>
      </c>
      <c r="C86" s="236"/>
      <c r="D86" s="157">
        <f>SUM(D87:D91)</f>
        <v>227000</v>
      </c>
      <c r="E86" s="157">
        <f>SUM(E87:E91)</f>
        <v>0</v>
      </c>
      <c r="F86" s="158">
        <f t="shared" si="1"/>
        <v>227000</v>
      </c>
      <c r="G86" s="107"/>
      <c r="H86" s="170"/>
    </row>
    <row r="87" spans="1:8" ht="16.5" customHeight="1">
      <c r="A87" s="106"/>
      <c r="B87" s="118" t="s">
        <v>253</v>
      </c>
      <c r="C87" s="232" t="s">
        <v>71</v>
      </c>
      <c r="D87" s="15">
        <v>85000</v>
      </c>
      <c r="E87" s="15"/>
      <c r="F87" s="127">
        <f t="shared" si="1"/>
        <v>85000</v>
      </c>
      <c r="G87" s="107"/>
    </row>
    <row r="88" spans="1:8">
      <c r="A88" s="106"/>
      <c r="B88" s="105" t="s">
        <v>161</v>
      </c>
      <c r="C88" s="234" t="s">
        <v>71</v>
      </c>
      <c r="D88" s="11">
        <f>20000+35000</f>
        <v>55000</v>
      </c>
      <c r="E88" s="12"/>
      <c r="F88" s="123">
        <f t="shared" si="1"/>
        <v>55000</v>
      </c>
      <c r="G88" s="107"/>
    </row>
    <row r="89" spans="1:8" ht="30">
      <c r="A89" s="106"/>
      <c r="B89" s="105" t="s">
        <v>267</v>
      </c>
      <c r="C89" s="234" t="s">
        <v>71</v>
      </c>
      <c r="D89" s="11">
        <v>45000</v>
      </c>
      <c r="E89" s="12"/>
      <c r="F89" s="123">
        <f t="shared" si="1"/>
        <v>45000</v>
      </c>
      <c r="G89" s="107"/>
    </row>
    <row r="90" spans="1:8">
      <c r="A90" s="106"/>
      <c r="B90" s="105" t="s">
        <v>254</v>
      </c>
      <c r="C90" s="234" t="s">
        <v>71</v>
      </c>
      <c r="D90" s="11">
        <v>30000</v>
      </c>
      <c r="E90" s="12"/>
      <c r="F90" s="123">
        <f t="shared" si="1"/>
        <v>30000</v>
      </c>
      <c r="G90" s="107"/>
    </row>
    <row r="91" spans="1:8" s="130" customFormat="1" ht="16.5" customHeight="1">
      <c r="A91" s="135"/>
      <c r="B91" s="181" t="s">
        <v>255</v>
      </c>
      <c r="C91" s="243" t="s">
        <v>71</v>
      </c>
      <c r="D91" s="150">
        <v>12000</v>
      </c>
      <c r="E91" s="219"/>
      <c r="F91" s="151">
        <f t="shared" si="1"/>
        <v>12000</v>
      </c>
      <c r="G91" s="136"/>
      <c r="H91" s="168"/>
    </row>
    <row r="92" spans="1:8" s="7" customFormat="1" ht="17.25" customHeight="1">
      <c r="A92" s="106"/>
      <c r="B92" s="163" t="s">
        <v>82</v>
      </c>
      <c r="C92" s="233"/>
      <c r="D92" s="157">
        <f>SUM(D93:D97)</f>
        <v>46000</v>
      </c>
      <c r="E92" s="157"/>
      <c r="F92" s="158">
        <f t="shared" si="1"/>
        <v>46000</v>
      </c>
      <c r="G92" s="107"/>
      <c r="H92" s="170"/>
    </row>
    <row r="93" spans="1:8" ht="16.5" customHeight="1">
      <c r="A93" s="106"/>
      <c r="B93" s="118" t="s">
        <v>256</v>
      </c>
      <c r="C93" s="232" t="s">
        <v>71</v>
      </c>
      <c r="D93" s="15">
        <v>25000</v>
      </c>
      <c r="E93" s="121"/>
      <c r="F93" s="127">
        <f t="shared" si="1"/>
        <v>25000</v>
      </c>
      <c r="G93" s="107"/>
    </row>
    <row r="94" spans="1:8">
      <c r="A94" s="106"/>
      <c r="B94" s="105" t="s">
        <v>352</v>
      </c>
      <c r="C94" s="234" t="s">
        <v>71</v>
      </c>
      <c r="D94" s="11">
        <v>6500</v>
      </c>
      <c r="E94" s="12"/>
      <c r="F94" s="123">
        <f t="shared" si="1"/>
        <v>6500</v>
      </c>
      <c r="G94" s="107"/>
    </row>
    <row r="95" spans="1:8">
      <c r="A95" s="106"/>
      <c r="B95" s="105" t="s">
        <v>257</v>
      </c>
      <c r="C95" s="234" t="s">
        <v>71</v>
      </c>
      <c r="D95" s="11">
        <v>5500</v>
      </c>
      <c r="E95" s="12"/>
      <c r="F95" s="123">
        <f t="shared" si="1"/>
        <v>5500</v>
      </c>
      <c r="G95" s="107"/>
    </row>
    <row r="96" spans="1:8" ht="30">
      <c r="A96" s="106"/>
      <c r="B96" s="105" t="s">
        <v>258</v>
      </c>
      <c r="C96" s="234" t="s">
        <v>71</v>
      </c>
      <c r="D96" s="11">
        <v>5000</v>
      </c>
      <c r="E96" s="12"/>
      <c r="F96" s="123">
        <f t="shared" si="1"/>
        <v>5000</v>
      </c>
      <c r="G96" s="107"/>
    </row>
    <row r="97" spans="1:8" ht="30">
      <c r="A97" s="108"/>
      <c r="B97" s="117" t="s">
        <v>259</v>
      </c>
      <c r="C97" s="237" t="s">
        <v>71</v>
      </c>
      <c r="D97" s="109">
        <v>4000</v>
      </c>
      <c r="E97" s="206"/>
      <c r="F97" s="124">
        <f t="shared" si="1"/>
        <v>4000</v>
      </c>
      <c r="G97" s="110"/>
    </row>
    <row r="98" spans="1:8" s="6" customFormat="1" ht="20.25" customHeight="1">
      <c r="A98" s="251"/>
      <c r="B98" s="245" t="s">
        <v>382</v>
      </c>
      <c r="C98" s="246" t="s">
        <v>71</v>
      </c>
      <c r="D98" s="252">
        <v>10000</v>
      </c>
      <c r="E98" s="252"/>
      <c r="F98" s="253">
        <f t="shared" si="1"/>
        <v>10000</v>
      </c>
      <c r="G98" s="254"/>
      <c r="H98" s="190"/>
    </row>
    <row r="99" spans="1:8" s="130" customFormat="1" ht="30">
      <c r="A99" s="131"/>
      <c r="B99" s="247" t="s">
        <v>381</v>
      </c>
      <c r="C99" s="248"/>
      <c r="D99" s="249"/>
      <c r="E99" s="249"/>
      <c r="F99" s="250">
        <f t="shared" si="1"/>
        <v>0</v>
      </c>
      <c r="G99" s="134"/>
      <c r="H99" s="168"/>
    </row>
    <row r="100" spans="1:8" s="141" customFormat="1" ht="24" customHeight="1">
      <c r="A100" s="128"/>
      <c r="B100" s="152" t="s">
        <v>383</v>
      </c>
      <c r="C100" s="227"/>
      <c r="D100" s="153">
        <f>SUM(D101,D115,D120,D123,D126,D129,D133,D139,D140)</f>
        <v>1861535</v>
      </c>
      <c r="E100" s="153">
        <f>SUM(E101,E115,E120,E126,E129,E133,E140)</f>
        <v>0</v>
      </c>
      <c r="F100" s="140">
        <f t="shared" si="1"/>
        <v>1861535</v>
      </c>
      <c r="G100" s="129"/>
      <c r="H100" s="180"/>
    </row>
    <row r="101" spans="1:8" s="7" customFormat="1" ht="17.25" customHeight="1">
      <c r="A101" s="106"/>
      <c r="B101" s="207" t="s">
        <v>13</v>
      </c>
      <c r="C101" s="235"/>
      <c r="D101" s="155">
        <f>SUM(D102:D109,D112)</f>
        <v>914795</v>
      </c>
      <c r="E101" s="155">
        <f>SUM(E102:E112)</f>
        <v>0</v>
      </c>
      <c r="F101" s="156">
        <f t="shared" si="1"/>
        <v>914795</v>
      </c>
      <c r="G101" s="107"/>
      <c r="H101" s="170"/>
    </row>
    <row r="102" spans="1:8" ht="16.5" customHeight="1">
      <c r="A102" s="106"/>
      <c r="B102" s="118" t="s">
        <v>153</v>
      </c>
      <c r="C102" s="232" t="s">
        <v>71</v>
      </c>
      <c r="D102" s="15">
        <v>560000</v>
      </c>
      <c r="E102" s="15"/>
      <c r="F102" s="127">
        <f t="shared" ref="F102:F112" si="7">SUM(D102:E102)</f>
        <v>560000</v>
      </c>
      <c r="G102" s="107"/>
    </row>
    <row r="103" spans="1:8">
      <c r="A103" s="106"/>
      <c r="B103" s="105" t="s">
        <v>420</v>
      </c>
      <c r="C103" s="234" t="s">
        <v>71</v>
      </c>
      <c r="D103" s="11">
        <v>100000</v>
      </c>
      <c r="E103" s="11"/>
      <c r="F103" s="123">
        <f t="shared" ref="F103:F106" si="8">SUM(D103:E103)</f>
        <v>100000</v>
      </c>
      <c r="G103" s="107"/>
    </row>
    <row r="104" spans="1:8" ht="15.75" customHeight="1">
      <c r="A104" s="106"/>
      <c r="B104" s="105" t="s">
        <v>328</v>
      </c>
      <c r="C104" s="234" t="s">
        <v>71</v>
      </c>
      <c r="D104" s="11">
        <v>85000</v>
      </c>
      <c r="E104" s="11"/>
      <c r="F104" s="123">
        <f t="shared" si="8"/>
        <v>85000</v>
      </c>
      <c r="G104" s="107"/>
    </row>
    <row r="105" spans="1:8" ht="15.75" customHeight="1">
      <c r="A105" s="106"/>
      <c r="B105" s="105" t="s">
        <v>268</v>
      </c>
      <c r="C105" s="234" t="s">
        <v>73</v>
      </c>
      <c r="D105" s="11">
        <v>48000</v>
      </c>
      <c r="E105" s="11"/>
      <c r="F105" s="123">
        <f t="shared" si="8"/>
        <v>48000</v>
      </c>
      <c r="G105" s="107"/>
    </row>
    <row r="106" spans="1:8" ht="15.75" customHeight="1">
      <c r="A106" s="106"/>
      <c r="B106" s="105" t="s">
        <v>269</v>
      </c>
      <c r="C106" s="234" t="s">
        <v>73</v>
      </c>
      <c r="D106" s="11">
        <v>48000</v>
      </c>
      <c r="E106" s="11"/>
      <c r="F106" s="123">
        <f t="shared" si="8"/>
        <v>48000</v>
      </c>
      <c r="G106" s="107"/>
    </row>
    <row r="107" spans="1:8" s="130" customFormat="1" ht="30">
      <c r="A107" s="135"/>
      <c r="B107" s="181" t="s">
        <v>271</v>
      </c>
      <c r="C107" s="243" t="s">
        <v>71</v>
      </c>
      <c r="D107" s="150">
        <v>30000</v>
      </c>
      <c r="E107" s="150"/>
      <c r="F107" s="151">
        <f t="shared" si="7"/>
        <v>30000</v>
      </c>
      <c r="G107" s="136"/>
      <c r="H107" s="168"/>
    </row>
    <row r="108" spans="1:8">
      <c r="A108" s="106"/>
      <c r="B108" s="105" t="s">
        <v>329</v>
      </c>
      <c r="C108" s="234" t="s">
        <v>71</v>
      </c>
      <c r="D108" s="11">
        <v>5000</v>
      </c>
      <c r="E108" s="11"/>
      <c r="F108" s="123">
        <f t="shared" si="7"/>
        <v>5000</v>
      </c>
      <c r="G108" s="107"/>
    </row>
    <row r="109" spans="1:8" ht="16.5" customHeight="1">
      <c r="A109" s="106"/>
      <c r="B109" s="165" t="s">
        <v>384</v>
      </c>
      <c r="C109" s="233" t="s">
        <v>73</v>
      </c>
      <c r="D109" s="216">
        <f>SUM(D110:D111)</f>
        <v>11485</v>
      </c>
      <c r="E109" s="216"/>
      <c r="F109" s="217">
        <f t="shared" si="7"/>
        <v>11485</v>
      </c>
      <c r="G109" s="107"/>
    </row>
    <row r="110" spans="1:8" s="211" customFormat="1" ht="16.5" customHeight="1">
      <c r="A110" s="208"/>
      <c r="B110" s="212" t="s">
        <v>272</v>
      </c>
      <c r="C110" s="220"/>
      <c r="D110" s="213">
        <v>6000</v>
      </c>
      <c r="E110" s="213"/>
      <c r="F110" s="215">
        <f t="shared" si="7"/>
        <v>6000</v>
      </c>
      <c r="G110" s="209"/>
      <c r="H110" s="210"/>
    </row>
    <row r="111" spans="1:8" s="211" customFormat="1" ht="15.75" customHeight="1">
      <c r="A111" s="208"/>
      <c r="B111" s="259" t="s">
        <v>273</v>
      </c>
      <c r="C111" s="260"/>
      <c r="D111" s="261">
        <v>5485</v>
      </c>
      <c r="E111" s="261"/>
      <c r="F111" s="262">
        <f t="shared" si="7"/>
        <v>5485</v>
      </c>
      <c r="G111" s="209"/>
      <c r="H111" s="210"/>
    </row>
    <row r="112" spans="1:8" ht="16.5" customHeight="1">
      <c r="A112" s="106"/>
      <c r="B112" s="165" t="s">
        <v>385</v>
      </c>
      <c r="C112" s="233" t="s">
        <v>73</v>
      </c>
      <c r="D112" s="216">
        <f>SUM(D113:D114)</f>
        <v>27310</v>
      </c>
      <c r="E112" s="216"/>
      <c r="F112" s="217">
        <f t="shared" si="7"/>
        <v>27310</v>
      </c>
      <c r="G112" s="107"/>
    </row>
    <row r="113" spans="1:8" s="211" customFormat="1" ht="16.5" customHeight="1">
      <c r="A113" s="208"/>
      <c r="B113" s="212" t="s">
        <v>241</v>
      </c>
      <c r="C113" s="220"/>
      <c r="D113" s="213">
        <v>22250</v>
      </c>
      <c r="E113" s="213"/>
      <c r="F113" s="215">
        <f t="shared" si="1"/>
        <v>22250</v>
      </c>
      <c r="G113" s="209"/>
      <c r="H113" s="210"/>
    </row>
    <row r="114" spans="1:8" s="270" customFormat="1" ht="15.75" customHeight="1">
      <c r="A114" s="263"/>
      <c r="B114" s="264" t="s">
        <v>419</v>
      </c>
      <c r="C114" s="265"/>
      <c r="D114" s="266">
        <v>5060</v>
      </c>
      <c r="E114" s="266"/>
      <c r="F114" s="267">
        <f t="shared" si="1"/>
        <v>5060</v>
      </c>
      <c r="G114" s="268"/>
      <c r="H114" s="269"/>
    </row>
    <row r="115" spans="1:8" s="7" customFormat="1" ht="17.25" customHeight="1">
      <c r="A115" s="106"/>
      <c r="B115" s="165" t="s">
        <v>406</v>
      </c>
      <c r="C115" s="233" t="s">
        <v>73</v>
      </c>
      <c r="D115" s="157">
        <f>SUM(D116:D119)</f>
        <v>168000</v>
      </c>
      <c r="E115" s="157">
        <f>SUM(E116:E119)</f>
        <v>0</v>
      </c>
      <c r="F115" s="158">
        <f t="shared" si="1"/>
        <v>168000</v>
      </c>
      <c r="G115" s="107"/>
      <c r="H115" s="170"/>
    </row>
    <row r="116" spans="1:8" ht="17.25" customHeight="1">
      <c r="A116" s="106"/>
      <c r="B116" s="308" t="s">
        <v>418</v>
      </c>
      <c r="C116" s="306"/>
      <c r="D116" s="15">
        <v>69600</v>
      </c>
      <c r="E116" s="15"/>
      <c r="F116" s="127">
        <f t="shared" si="1"/>
        <v>69600</v>
      </c>
      <c r="G116" s="107"/>
    </row>
    <row r="117" spans="1:8" ht="15" customHeight="1">
      <c r="A117" s="106"/>
      <c r="B117" s="114" t="s">
        <v>275</v>
      </c>
      <c r="C117" s="306"/>
      <c r="D117" s="11">
        <v>28000</v>
      </c>
      <c r="E117" s="11"/>
      <c r="F117" s="123">
        <f t="shared" si="1"/>
        <v>28000</v>
      </c>
      <c r="G117" s="107"/>
    </row>
    <row r="118" spans="1:8" ht="15" customHeight="1">
      <c r="A118" s="106"/>
      <c r="B118" s="114" t="s">
        <v>274</v>
      </c>
      <c r="C118" s="306"/>
      <c r="D118" s="11">
        <v>27650</v>
      </c>
      <c r="E118" s="11"/>
      <c r="F118" s="123">
        <f t="shared" si="1"/>
        <v>27650</v>
      </c>
      <c r="G118" s="107"/>
    </row>
    <row r="119" spans="1:8" s="130" customFormat="1" ht="27.75" customHeight="1">
      <c r="A119" s="135"/>
      <c r="B119" s="309" t="s">
        <v>276</v>
      </c>
      <c r="C119" s="307"/>
      <c r="D119" s="150">
        <f>20000+22750</f>
        <v>42750</v>
      </c>
      <c r="E119" s="150"/>
      <c r="F119" s="151">
        <f t="shared" si="1"/>
        <v>42750</v>
      </c>
      <c r="G119" s="136"/>
      <c r="H119" s="168"/>
    </row>
    <row r="120" spans="1:8" s="7" customFormat="1" ht="17.25" customHeight="1">
      <c r="A120" s="106"/>
      <c r="B120" s="165" t="s">
        <v>83</v>
      </c>
      <c r="C120" s="233"/>
      <c r="D120" s="157">
        <f>SUM(D121:D122)</f>
        <v>35000</v>
      </c>
      <c r="E120" s="157">
        <f>SUM(E121:E122)</f>
        <v>0</v>
      </c>
      <c r="F120" s="158">
        <f t="shared" si="1"/>
        <v>35000</v>
      </c>
      <c r="G120" s="107"/>
      <c r="H120" s="170"/>
    </row>
    <row r="121" spans="1:8" ht="16.5" customHeight="1">
      <c r="A121" s="106"/>
      <c r="B121" s="118" t="s">
        <v>330</v>
      </c>
      <c r="C121" s="232" t="s">
        <v>71</v>
      </c>
      <c r="D121" s="15">
        <v>25000</v>
      </c>
      <c r="E121" s="15"/>
      <c r="F121" s="127">
        <f>SUM(D121:E121)</f>
        <v>25000</v>
      </c>
      <c r="G121" s="107"/>
    </row>
    <row r="122" spans="1:8" s="130" customFormat="1" ht="16.5" customHeight="1">
      <c r="A122" s="135"/>
      <c r="B122" s="256" t="s">
        <v>154</v>
      </c>
      <c r="C122" s="243" t="s">
        <v>71</v>
      </c>
      <c r="D122" s="150">
        <v>10000</v>
      </c>
      <c r="E122" s="150"/>
      <c r="F122" s="151">
        <f>SUM(D122:E122)</f>
        <v>10000</v>
      </c>
      <c r="G122" s="136"/>
      <c r="H122" s="168"/>
    </row>
    <row r="123" spans="1:8" s="7" customFormat="1" ht="17.25" customHeight="1">
      <c r="A123" s="106"/>
      <c r="B123" s="165" t="s">
        <v>281</v>
      </c>
      <c r="C123" s="233"/>
      <c r="D123" s="157">
        <f>SUM(D124:D125)</f>
        <v>135000</v>
      </c>
      <c r="E123" s="157">
        <f>SUM(E124:E125)</f>
        <v>0</v>
      </c>
      <c r="F123" s="158">
        <f t="shared" ref="F123" si="9">SUM(D123:E123)</f>
        <v>135000</v>
      </c>
      <c r="G123" s="107"/>
      <c r="H123" s="170"/>
    </row>
    <row r="124" spans="1:8" ht="16.5" customHeight="1">
      <c r="A124" s="106"/>
      <c r="B124" s="118" t="s">
        <v>331</v>
      </c>
      <c r="C124" s="232" t="s">
        <v>71</v>
      </c>
      <c r="D124" s="15">
        <v>25000</v>
      </c>
      <c r="E124" s="15"/>
      <c r="F124" s="127">
        <f>SUM(D124:E124)</f>
        <v>25000</v>
      </c>
      <c r="G124" s="107"/>
    </row>
    <row r="125" spans="1:8" ht="16.5" customHeight="1">
      <c r="A125" s="106"/>
      <c r="B125" s="116" t="s">
        <v>332</v>
      </c>
      <c r="C125" s="234" t="s">
        <v>71</v>
      </c>
      <c r="D125" s="11">
        <v>110000</v>
      </c>
      <c r="E125" s="11"/>
      <c r="F125" s="123">
        <f>SUM(D125:E125)</f>
        <v>110000</v>
      </c>
      <c r="G125" s="107"/>
    </row>
    <row r="126" spans="1:8" s="7" customFormat="1" ht="17.25" customHeight="1">
      <c r="A126" s="106"/>
      <c r="B126" s="163" t="s">
        <v>386</v>
      </c>
      <c r="C126" s="233"/>
      <c r="D126" s="157">
        <f>SUM(D127:D128)</f>
        <v>140000</v>
      </c>
      <c r="E126" s="157">
        <f>SUM(E127:E128)</f>
        <v>0</v>
      </c>
      <c r="F126" s="158">
        <f t="shared" si="1"/>
        <v>140000</v>
      </c>
      <c r="G126" s="107"/>
      <c r="H126" s="170"/>
    </row>
    <row r="127" spans="1:8" ht="16.5" customHeight="1">
      <c r="A127" s="106"/>
      <c r="B127" s="118" t="s">
        <v>387</v>
      </c>
      <c r="C127" s="232" t="s">
        <v>71</v>
      </c>
      <c r="D127" s="15">
        <f>15000+100000-15000</f>
        <v>100000</v>
      </c>
      <c r="E127" s="15"/>
      <c r="F127" s="127">
        <f t="shared" si="1"/>
        <v>100000</v>
      </c>
      <c r="G127" s="107"/>
    </row>
    <row r="128" spans="1:8" ht="30">
      <c r="A128" s="106"/>
      <c r="B128" s="105" t="s">
        <v>388</v>
      </c>
      <c r="C128" s="234" t="s">
        <v>71</v>
      </c>
      <c r="D128" s="11">
        <v>40000</v>
      </c>
      <c r="E128" s="11"/>
      <c r="F128" s="123">
        <f t="shared" si="1"/>
        <v>40000</v>
      </c>
      <c r="G128" s="107"/>
    </row>
    <row r="129" spans="1:8" s="7" customFormat="1" ht="17.25" customHeight="1">
      <c r="A129" s="106"/>
      <c r="B129" s="163" t="s">
        <v>277</v>
      </c>
      <c r="C129" s="233"/>
      <c r="D129" s="157">
        <f>SUM(D130:D132)</f>
        <v>96740</v>
      </c>
      <c r="E129" s="157">
        <f>SUM(E130:E132)</f>
        <v>0</v>
      </c>
      <c r="F129" s="158">
        <f t="shared" ref="F129:F132" si="10">SUM(D129:E129)</f>
        <v>96740</v>
      </c>
      <c r="G129" s="107"/>
      <c r="H129" s="170"/>
    </row>
    <row r="130" spans="1:8" ht="30">
      <c r="A130" s="106"/>
      <c r="B130" s="118" t="s">
        <v>333</v>
      </c>
      <c r="C130" s="232" t="s">
        <v>71</v>
      </c>
      <c r="D130" s="15">
        <v>11640</v>
      </c>
      <c r="E130" s="15"/>
      <c r="F130" s="127">
        <f t="shared" si="10"/>
        <v>11640</v>
      </c>
      <c r="G130" s="107"/>
    </row>
    <row r="131" spans="1:8">
      <c r="A131" s="106"/>
      <c r="B131" s="105" t="s">
        <v>389</v>
      </c>
      <c r="C131" s="234" t="s">
        <v>71</v>
      </c>
      <c r="D131" s="11">
        <v>80000</v>
      </c>
      <c r="E131" s="11"/>
      <c r="F131" s="123">
        <f t="shared" si="10"/>
        <v>80000</v>
      </c>
      <c r="G131" s="107"/>
    </row>
    <row r="132" spans="1:8" s="130" customFormat="1" ht="16.5" customHeight="1">
      <c r="A132" s="135"/>
      <c r="B132" s="181" t="s">
        <v>345</v>
      </c>
      <c r="C132" s="243" t="s">
        <v>71</v>
      </c>
      <c r="D132" s="150">
        <v>5100</v>
      </c>
      <c r="E132" s="150"/>
      <c r="F132" s="151">
        <f t="shared" si="10"/>
        <v>5100</v>
      </c>
      <c r="G132" s="136"/>
      <c r="H132" s="168"/>
    </row>
    <row r="133" spans="1:8" s="7" customFormat="1" ht="17.25" customHeight="1">
      <c r="A133" s="106"/>
      <c r="B133" s="163" t="s">
        <v>121</v>
      </c>
      <c r="C133" s="236"/>
      <c r="D133" s="157">
        <f>SUM(D134:D138)</f>
        <v>225000</v>
      </c>
      <c r="E133" s="157">
        <f>SUM(E134:E138)</f>
        <v>0</v>
      </c>
      <c r="F133" s="158">
        <f t="shared" si="1"/>
        <v>225000</v>
      </c>
      <c r="G133" s="107"/>
      <c r="H133" s="170"/>
    </row>
    <row r="134" spans="1:8" ht="16.5" customHeight="1">
      <c r="A134" s="106"/>
      <c r="B134" s="255" t="s">
        <v>160</v>
      </c>
      <c r="C134" s="232" t="s">
        <v>73</v>
      </c>
      <c r="D134" s="15">
        <v>128000</v>
      </c>
      <c r="E134" s="15"/>
      <c r="F134" s="127">
        <f t="shared" si="1"/>
        <v>128000</v>
      </c>
      <c r="G134" s="107"/>
    </row>
    <row r="135" spans="1:8">
      <c r="A135" s="106"/>
      <c r="B135" s="119" t="s">
        <v>344</v>
      </c>
      <c r="C135" s="234" t="s">
        <v>73</v>
      </c>
      <c r="D135" s="11">
        <v>10000</v>
      </c>
      <c r="E135" s="11"/>
      <c r="F135" s="123">
        <f t="shared" si="1"/>
        <v>10000</v>
      </c>
      <c r="G135" s="107"/>
    </row>
    <row r="136" spans="1:8">
      <c r="A136" s="106"/>
      <c r="B136" s="119" t="s">
        <v>162</v>
      </c>
      <c r="C136" s="234" t="s">
        <v>73</v>
      </c>
      <c r="D136" s="11">
        <v>30000</v>
      </c>
      <c r="E136" s="11"/>
      <c r="F136" s="123">
        <f t="shared" si="1"/>
        <v>30000</v>
      </c>
      <c r="G136" s="107"/>
    </row>
    <row r="137" spans="1:8">
      <c r="A137" s="106"/>
      <c r="B137" s="119" t="s">
        <v>152</v>
      </c>
      <c r="C137" s="234" t="s">
        <v>73</v>
      </c>
      <c r="D137" s="11">
        <v>25000</v>
      </c>
      <c r="E137" s="11"/>
      <c r="F137" s="123">
        <f t="shared" si="1"/>
        <v>25000</v>
      </c>
      <c r="G137" s="107"/>
    </row>
    <row r="138" spans="1:8" s="130" customFormat="1" ht="16.5" customHeight="1">
      <c r="A138" s="135"/>
      <c r="B138" s="181" t="s">
        <v>84</v>
      </c>
      <c r="C138" s="243" t="s">
        <v>73</v>
      </c>
      <c r="D138" s="150">
        <v>32000</v>
      </c>
      <c r="E138" s="150"/>
      <c r="F138" s="151">
        <f t="shared" si="1"/>
        <v>32000</v>
      </c>
      <c r="G138" s="136"/>
      <c r="H138" s="168"/>
    </row>
    <row r="139" spans="1:8" s="141" customFormat="1" ht="46.5" customHeight="1">
      <c r="A139" s="135"/>
      <c r="B139" s="177" t="s">
        <v>390</v>
      </c>
      <c r="C139" s="243" t="s">
        <v>73</v>
      </c>
      <c r="D139" s="178">
        <v>7000</v>
      </c>
      <c r="E139" s="178">
        <v>0</v>
      </c>
      <c r="F139" s="179">
        <f t="shared" ref="F139" si="11">SUM(D139:E139)</f>
        <v>7000</v>
      </c>
      <c r="G139" s="136"/>
      <c r="H139" s="180"/>
    </row>
    <row r="140" spans="1:8" s="7" customFormat="1" ht="17.25" customHeight="1">
      <c r="A140" s="106"/>
      <c r="B140" s="163" t="s">
        <v>278</v>
      </c>
      <c r="C140" s="233"/>
      <c r="D140" s="157">
        <f>SUM(D141:D142)</f>
        <v>140000</v>
      </c>
      <c r="E140" s="157">
        <f>SUM(E141:E142)</f>
        <v>0</v>
      </c>
      <c r="F140" s="158">
        <f t="shared" si="1"/>
        <v>140000</v>
      </c>
      <c r="G140" s="107"/>
      <c r="H140" s="170"/>
    </row>
    <row r="141" spans="1:8" ht="16.5" customHeight="1">
      <c r="A141" s="106"/>
      <c r="B141" s="118" t="s">
        <v>279</v>
      </c>
      <c r="C141" s="232" t="s">
        <v>73</v>
      </c>
      <c r="D141" s="15">
        <v>70000</v>
      </c>
      <c r="E141" s="15"/>
      <c r="F141" s="127">
        <f t="shared" si="1"/>
        <v>70000</v>
      </c>
      <c r="G141" s="107"/>
    </row>
    <row r="142" spans="1:8" s="130" customFormat="1" ht="16.5" customHeight="1">
      <c r="A142" s="131"/>
      <c r="B142" s="257" t="s">
        <v>280</v>
      </c>
      <c r="C142" s="258" t="s">
        <v>71</v>
      </c>
      <c r="D142" s="143">
        <v>70000</v>
      </c>
      <c r="E142" s="143"/>
      <c r="F142" s="144">
        <f t="shared" si="1"/>
        <v>70000</v>
      </c>
      <c r="G142" s="134"/>
      <c r="H142" s="168"/>
    </row>
    <row r="143" spans="1:8" s="141" customFormat="1" ht="24" customHeight="1">
      <c r="A143" s="128"/>
      <c r="B143" s="152" t="s">
        <v>391</v>
      </c>
      <c r="C143" s="227"/>
      <c r="D143" s="153">
        <f>SUM(D144,D157,D169,D170,D171,D174,D175)</f>
        <v>5320600</v>
      </c>
      <c r="E143" s="153">
        <f>SUM(E144,E157,E169,E170,E171,E174,E175)</f>
        <v>2271550</v>
      </c>
      <c r="F143" s="140">
        <f t="shared" si="1"/>
        <v>7592150</v>
      </c>
      <c r="G143" s="129"/>
      <c r="H143" s="180"/>
    </row>
    <row r="144" spans="1:8" s="7" customFormat="1" ht="17.25" customHeight="1">
      <c r="A144" s="106"/>
      <c r="B144" s="148" t="s">
        <v>165</v>
      </c>
      <c r="C144" s="228"/>
      <c r="D144" s="155">
        <f>SUM(D145,D148,D153:D156)</f>
        <v>2500000</v>
      </c>
      <c r="E144" s="155">
        <f>SUM(E145,E148,E153:E156)</f>
        <v>2265000</v>
      </c>
      <c r="F144" s="156">
        <f t="shared" si="1"/>
        <v>4765000</v>
      </c>
      <c r="G144" s="107"/>
      <c r="H144" s="170"/>
    </row>
    <row r="145" spans="1:8" ht="16.5" customHeight="1">
      <c r="A145" s="106"/>
      <c r="B145" s="154" t="s">
        <v>392</v>
      </c>
      <c r="C145" s="239" t="s">
        <v>71</v>
      </c>
      <c r="D145" s="216">
        <f>SUM(D146:D147)</f>
        <v>1162000</v>
      </c>
      <c r="E145" s="216">
        <f>SUM(E146:E147)</f>
        <v>2265000</v>
      </c>
      <c r="F145" s="217">
        <f t="shared" si="1"/>
        <v>3427000</v>
      </c>
      <c r="G145" s="107"/>
    </row>
    <row r="146" spans="1:8" s="274" customFormat="1" ht="15" customHeight="1">
      <c r="A146" s="208"/>
      <c r="B146" s="275" t="s">
        <v>334</v>
      </c>
      <c r="C146" s="276"/>
      <c r="D146" s="213">
        <v>300000</v>
      </c>
      <c r="E146" s="213">
        <v>1500000</v>
      </c>
      <c r="F146" s="215">
        <f t="shared" ref="F146:F147" si="12">SUM(D146:E146)</f>
        <v>1800000</v>
      </c>
      <c r="G146" s="209"/>
      <c r="H146" s="273"/>
    </row>
    <row r="147" spans="1:8" s="274" customFormat="1" ht="15" customHeight="1">
      <c r="A147" s="208"/>
      <c r="B147" s="285" t="s">
        <v>155</v>
      </c>
      <c r="C147" s="286"/>
      <c r="D147" s="261">
        <v>862000</v>
      </c>
      <c r="E147" s="261">
        <v>765000</v>
      </c>
      <c r="F147" s="262">
        <f t="shared" si="12"/>
        <v>1627000</v>
      </c>
      <c r="G147" s="209"/>
      <c r="H147" s="273"/>
    </row>
    <row r="148" spans="1:8" ht="16.5" customHeight="1">
      <c r="A148" s="106"/>
      <c r="B148" s="154" t="s">
        <v>393</v>
      </c>
      <c r="C148" s="239" t="s">
        <v>71</v>
      </c>
      <c r="D148" s="216">
        <f>SUM(D149:D152)</f>
        <v>488000</v>
      </c>
      <c r="E148" s="216">
        <f>SUM(E149:E152)</f>
        <v>0</v>
      </c>
      <c r="F148" s="217">
        <f t="shared" si="1"/>
        <v>488000</v>
      </c>
      <c r="G148" s="107"/>
    </row>
    <row r="149" spans="1:8" s="211" customFormat="1" ht="15" customHeight="1">
      <c r="A149" s="208"/>
      <c r="B149" s="275" t="s">
        <v>307</v>
      </c>
      <c r="C149" s="276"/>
      <c r="D149" s="277">
        <v>200000</v>
      </c>
      <c r="E149" s="277"/>
      <c r="F149" s="278">
        <f t="shared" si="1"/>
        <v>200000</v>
      </c>
      <c r="G149" s="209"/>
      <c r="H149" s="210"/>
    </row>
    <row r="150" spans="1:8" s="211" customFormat="1" ht="15" customHeight="1">
      <c r="A150" s="208"/>
      <c r="B150" s="275" t="s">
        <v>163</v>
      </c>
      <c r="C150" s="276"/>
      <c r="D150" s="277">
        <v>118000</v>
      </c>
      <c r="E150" s="277"/>
      <c r="F150" s="278">
        <f t="shared" si="1"/>
        <v>118000</v>
      </c>
      <c r="G150" s="209"/>
      <c r="H150" s="210"/>
    </row>
    <row r="151" spans="1:8" s="211" customFormat="1" ht="15" customHeight="1">
      <c r="A151" s="208"/>
      <c r="B151" s="275" t="s">
        <v>308</v>
      </c>
      <c r="C151" s="276"/>
      <c r="D151" s="277">
        <v>90000</v>
      </c>
      <c r="E151" s="277"/>
      <c r="F151" s="278">
        <f t="shared" si="1"/>
        <v>90000</v>
      </c>
      <c r="G151" s="209"/>
      <c r="H151" s="210"/>
    </row>
    <row r="152" spans="1:8" s="211" customFormat="1" ht="15" customHeight="1">
      <c r="A152" s="208"/>
      <c r="B152" s="285" t="s">
        <v>309</v>
      </c>
      <c r="C152" s="286"/>
      <c r="D152" s="288">
        <v>80000</v>
      </c>
      <c r="E152" s="288"/>
      <c r="F152" s="289">
        <f t="shared" si="1"/>
        <v>80000</v>
      </c>
      <c r="G152" s="209"/>
      <c r="H152" s="210"/>
    </row>
    <row r="153" spans="1:8">
      <c r="A153" s="106"/>
      <c r="B153" s="120" t="s">
        <v>310</v>
      </c>
      <c r="C153" s="225" t="s">
        <v>71</v>
      </c>
      <c r="D153" s="11">
        <v>300000</v>
      </c>
      <c r="E153" s="11"/>
      <c r="F153" s="123">
        <f t="shared" si="1"/>
        <v>300000</v>
      </c>
      <c r="G153" s="107"/>
    </row>
    <row r="154" spans="1:8">
      <c r="A154" s="106"/>
      <c r="B154" s="120" t="s">
        <v>311</v>
      </c>
      <c r="C154" s="225" t="s">
        <v>71</v>
      </c>
      <c r="D154" s="11">
        <v>390000</v>
      </c>
      <c r="E154" s="11"/>
      <c r="F154" s="123">
        <f t="shared" si="1"/>
        <v>390000</v>
      </c>
      <c r="G154" s="107"/>
    </row>
    <row r="155" spans="1:8">
      <c r="A155" s="106"/>
      <c r="B155" s="120" t="s">
        <v>312</v>
      </c>
      <c r="C155" s="225" t="s">
        <v>71</v>
      </c>
      <c r="D155" s="11">
        <v>90000</v>
      </c>
      <c r="E155" s="11"/>
      <c r="F155" s="123">
        <f t="shared" si="1"/>
        <v>90000</v>
      </c>
      <c r="G155" s="107"/>
    </row>
    <row r="156" spans="1:8" s="130" customFormat="1" ht="30">
      <c r="A156" s="135"/>
      <c r="B156" s="290" t="s">
        <v>313</v>
      </c>
      <c r="C156" s="240" t="s">
        <v>71</v>
      </c>
      <c r="D156" s="150">
        <v>70000</v>
      </c>
      <c r="E156" s="150"/>
      <c r="F156" s="151">
        <f t="shared" si="1"/>
        <v>70000</v>
      </c>
      <c r="G156" s="136"/>
      <c r="H156" s="168"/>
    </row>
    <row r="157" spans="1:8" s="141" customFormat="1" ht="30" customHeight="1">
      <c r="A157" s="135"/>
      <c r="B157" s="201" t="s">
        <v>394</v>
      </c>
      <c r="C157" s="291" t="s">
        <v>71</v>
      </c>
      <c r="D157" s="178">
        <f>SUM(D158:D168)</f>
        <v>1497000</v>
      </c>
      <c r="E157" s="178">
        <f>SUM(E158:E168)</f>
        <v>0</v>
      </c>
      <c r="F157" s="179">
        <f t="shared" si="1"/>
        <v>1497000</v>
      </c>
      <c r="G157" s="136"/>
      <c r="H157" s="180"/>
    </row>
    <row r="158" spans="1:8" s="274" customFormat="1" ht="15" customHeight="1">
      <c r="A158" s="208"/>
      <c r="B158" s="275" t="s">
        <v>346</v>
      </c>
      <c r="C158" s="276"/>
      <c r="D158" s="277">
        <v>300000</v>
      </c>
      <c r="E158" s="277"/>
      <c r="F158" s="278">
        <f t="shared" si="1"/>
        <v>300000</v>
      </c>
      <c r="G158" s="209"/>
      <c r="H158" s="273"/>
    </row>
    <row r="159" spans="1:8" s="274" customFormat="1" ht="15" customHeight="1">
      <c r="A159" s="208"/>
      <c r="B159" s="275" t="s">
        <v>347</v>
      </c>
      <c r="C159" s="276"/>
      <c r="D159" s="277">
        <v>290000</v>
      </c>
      <c r="E159" s="277"/>
      <c r="F159" s="278">
        <f t="shared" si="1"/>
        <v>290000</v>
      </c>
      <c r="G159" s="209"/>
      <c r="H159" s="273"/>
    </row>
    <row r="160" spans="1:8" s="274" customFormat="1" ht="15" customHeight="1">
      <c r="A160" s="208"/>
      <c r="B160" s="275" t="s">
        <v>351</v>
      </c>
      <c r="C160" s="276"/>
      <c r="D160" s="277">
        <v>250000</v>
      </c>
      <c r="E160" s="277"/>
      <c r="F160" s="278">
        <f t="shared" si="1"/>
        <v>250000</v>
      </c>
      <c r="G160" s="209"/>
      <c r="H160" s="273"/>
    </row>
    <row r="161" spans="1:8" s="274" customFormat="1" ht="15" customHeight="1">
      <c r="A161" s="208"/>
      <c r="B161" s="275" t="s">
        <v>350</v>
      </c>
      <c r="C161" s="276"/>
      <c r="D161" s="277">
        <v>125000</v>
      </c>
      <c r="E161" s="277"/>
      <c r="F161" s="278">
        <f t="shared" si="1"/>
        <v>125000</v>
      </c>
      <c r="G161" s="209"/>
      <c r="H161" s="273"/>
    </row>
    <row r="162" spans="1:8" s="274" customFormat="1" ht="15" customHeight="1">
      <c r="A162" s="208"/>
      <c r="B162" s="275" t="s">
        <v>156</v>
      </c>
      <c r="C162" s="276"/>
      <c r="D162" s="277">
        <v>105000</v>
      </c>
      <c r="E162" s="277"/>
      <c r="F162" s="278">
        <f t="shared" si="1"/>
        <v>105000</v>
      </c>
      <c r="G162" s="209"/>
      <c r="H162" s="273"/>
    </row>
    <row r="163" spans="1:8" s="274" customFormat="1" ht="15" customHeight="1">
      <c r="A163" s="208"/>
      <c r="B163" s="275" t="s">
        <v>315</v>
      </c>
      <c r="C163" s="276"/>
      <c r="D163" s="277">
        <v>105000</v>
      </c>
      <c r="E163" s="277"/>
      <c r="F163" s="278">
        <f t="shared" si="1"/>
        <v>105000</v>
      </c>
      <c r="G163" s="209"/>
      <c r="H163" s="273"/>
    </row>
    <row r="164" spans="1:8" s="274" customFormat="1" ht="15" customHeight="1">
      <c r="A164" s="208"/>
      <c r="B164" s="275" t="s">
        <v>348</v>
      </c>
      <c r="C164" s="276"/>
      <c r="D164" s="277">
        <v>100000</v>
      </c>
      <c r="E164" s="277"/>
      <c r="F164" s="278">
        <f t="shared" si="1"/>
        <v>100000</v>
      </c>
      <c r="G164" s="209"/>
      <c r="H164" s="273"/>
    </row>
    <row r="165" spans="1:8" s="274" customFormat="1" ht="15" customHeight="1">
      <c r="A165" s="208"/>
      <c r="B165" s="275" t="s">
        <v>316</v>
      </c>
      <c r="C165" s="276"/>
      <c r="D165" s="277">
        <v>70000</v>
      </c>
      <c r="E165" s="277"/>
      <c r="F165" s="278">
        <f t="shared" si="1"/>
        <v>70000</v>
      </c>
      <c r="G165" s="209"/>
      <c r="H165" s="273"/>
    </row>
    <row r="166" spans="1:8" s="274" customFormat="1" ht="15" customHeight="1">
      <c r="A166" s="208"/>
      <c r="B166" s="275" t="s">
        <v>164</v>
      </c>
      <c r="C166" s="276"/>
      <c r="D166" s="277">
        <v>70000</v>
      </c>
      <c r="E166" s="277"/>
      <c r="F166" s="278">
        <f t="shared" si="1"/>
        <v>70000</v>
      </c>
      <c r="G166" s="209"/>
      <c r="H166" s="273"/>
    </row>
    <row r="167" spans="1:8" s="274" customFormat="1" ht="15" customHeight="1">
      <c r="A167" s="208"/>
      <c r="B167" s="275" t="s">
        <v>349</v>
      </c>
      <c r="C167" s="276"/>
      <c r="D167" s="277">
        <v>50000</v>
      </c>
      <c r="E167" s="277"/>
      <c r="F167" s="278">
        <f t="shared" si="1"/>
        <v>50000</v>
      </c>
      <c r="G167" s="209"/>
      <c r="H167" s="273"/>
    </row>
    <row r="168" spans="1:8" s="274" customFormat="1" ht="15" customHeight="1">
      <c r="A168" s="208"/>
      <c r="B168" s="285" t="s">
        <v>317</v>
      </c>
      <c r="C168" s="286"/>
      <c r="D168" s="288">
        <v>32000</v>
      </c>
      <c r="E168" s="288"/>
      <c r="F168" s="289">
        <f t="shared" si="1"/>
        <v>32000</v>
      </c>
      <c r="G168" s="209"/>
      <c r="H168" s="273"/>
    </row>
    <row r="169" spans="1:8" s="141" customFormat="1" ht="30" customHeight="1">
      <c r="A169" s="135"/>
      <c r="B169" s="292" t="s">
        <v>395</v>
      </c>
      <c r="C169" s="294" t="s">
        <v>71</v>
      </c>
      <c r="D169" s="293">
        <v>44000</v>
      </c>
      <c r="E169" s="293">
        <v>0</v>
      </c>
      <c r="F169" s="179">
        <f t="shared" ref="F169:F170" si="13">SUM(D169:E169)</f>
        <v>44000</v>
      </c>
      <c r="G169" s="136"/>
      <c r="H169" s="180"/>
    </row>
    <row r="170" spans="1:8" s="141" customFormat="1" ht="45">
      <c r="A170" s="135"/>
      <c r="B170" s="292" t="s">
        <v>396</v>
      </c>
      <c r="C170" s="294" t="s">
        <v>71</v>
      </c>
      <c r="D170" s="293">
        <v>476500</v>
      </c>
      <c r="E170" s="293">
        <v>0</v>
      </c>
      <c r="F170" s="179">
        <f t="shared" si="13"/>
        <v>476500</v>
      </c>
      <c r="G170" s="136"/>
      <c r="H170" s="180"/>
    </row>
    <row r="171" spans="1:8" s="7" customFormat="1" ht="17.25" customHeight="1">
      <c r="A171" s="106"/>
      <c r="B171" s="154" t="s">
        <v>397</v>
      </c>
      <c r="C171" s="284"/>
      <c r="D171" s="157">
        <f>SUM(D172:D173)</f>
        <v>103100</v>
      </c>
      <c r="E171" s="157">
        <f>SUM(E172:E173)</f>
        <v>6550</v>
      </c>
      <c r="F171" s="158">
        <f t="shared" si="1"/>
        <v>109650</v>
      </c>
      <c r="G171" s="107"/>
      <c r="H171" s="170"/>
    </row>
    <row r="172" spans="1:8" ht="16.5" customHeight="1">
      <c r="A172" s="106"/>
      <c r="B172" s="147" t="s">
        <v>398</v>
      </c>
      <c r="C172" s="283" t="s">
        <v>71</v>
      </c>
      <c r="D172" s="15">
        <v>100000</v>
      </c>
      <c r="E172" s="15"/>
      <c r="F172" s="127">
        <f>SUM(D172:E172)</f>
        <v>100000</v>
      </c>
      <c r="G172" s="107"/>
    </row>
    <row r="173" spans="1:8" s="130" customFormat="1" ht="16.5" customHeight="1">
      <c r="A173" s="135"/>
      <c r="B173" s="295" t="s">
        <v>399</v>
      </c>
      <c r="C173" s="296" t="s">
        <v>71</v>
      </c>
      <c r="D173" s="150">
        <v>3100</v>
      </c>
      <c r="E173" s="150">
        <v>6550</v>
      </c>
      <c r="F173" s="151">
        <f>SUM(D173:E173)</f>
        <v>9650</v>
      </c>
      <c r="G173" s="136"/>
      <c r="H173" s="168"/>
    </row>
    <row r="174" spans="1:8" s="141" customFormat="1" ht="46.5" customHeight="1">
      <c r="A174" s="135"/>
      <c r="B174" s="292" t="s">
        <v>400</v>
      </c>
      <c r="C174" s="294" t="s">
        <v>71</v>
      </c>
      <c r="D174" s="293">
        <v>18000</v>
      </c>
      <c r="E174" s="293">
        <v>0</v>
      </c>
      <c r="F174" s="179">
        <f t="shared" ref="F174" si="14">SUM(D174:E174)</f>
        <v>18000</v>
      </c>
      <c r="G174" s="136"/>
      <c r="H174" s="180"/>
    </row>
    <row r="175" spans="1:8" s="7" customFormat="1" ht="17.25" customHeight="1">
      <c r="A175" s="106"/>
      <c r="B175" s="193" t="s">
        <v>166</v>
      </c>
      <c r="C175" s="239"/>
      <c r="D175" s="157">
        <f>SUM(D176:D180)</f>
        <v>682000</v>
      </c>
      <c r="E175" s="157">
        <f>SUM(E176:E180)</f>
        <v>0</v>
      </c>
      <c r="F175" s="158">
        <f t="shared" si="1"/>
        <v>682000</v>
      </c>
      <c r="G175" s="107"/>
      <c r="H175" s="170"/>
    </row>
    <row r="176" spans="1:8" ht="16.5" customHeight="1">
      <c r="A176" s="106"/>
      <c r="B176" s="147" t="s">
        <v>29</v>
      </c>
      <c r="C176" s="229" t="s">
        <v>71</v>
      </c>
      <c r="D176" s="15">
        <v>250000</v>
      </c>
      <c r="E176" s="15"/>
      <c r="F176" s="127">
        <f t="shared" si="1"/>
        <v>250000</v>
      </c>
      <c r="G176" s="107"/>
    </row>
    <row r="177" spans="1:8">
      <c r="A177" s="106"/>
      <c r="B177" s="112" t="s">
        <v>318</v>
      </c>
      <c r="C177" s="225" t="s">
        <v>71</v>
      </c>
      <c r="D177" s="11">
        <v>130000</v>
      </c>
      <c r="E177" s="11"/>
      <c r="F177" s="123">
        <f t="shared" si="1"/>
        <v>130000</v>
      </c>
      <c r="G177" s="107"/>
    </row>
    <row r="178" spans="1:8" ht="30">
      <c r="A178" s="106"/>
      <c r="B178" s="112" t="s">
        <v>122</v>
      </c>
      <c r="C178" s="225" t="s">
        <v>71</v>
      </c>
      <c r="D178" s="11">
        <v>100000</v>
      </c>
      <c r="E178" s="11"/>
      <c r="F178" s="123">
        <f t="shared" si="1"/>
        <v>100000</v>
      </c>
      <c r="G178" s="107"/>
    </row>
    <row r="179" spans="1:8">
      <c r="A179" s="106"/>
      <c r="B179" s="112" t="s">
        <v>319</v>
      </c>
      <c r="C179" s="225" t="s">
        <v>71</v>
      </c>
      <c r="D179" s="11">
        <v>32000</v>
      </c>
      <c r="E179" s="11"/>
      <c r="F179" s="123">
        <f t="shared" si="1"/>
        <v>32000</v>
      </c>
      <c r="G179" s="107"/>
    </row>
    <row r="180" spans="1:8">
      <c r="A180" s="106"/>
      <c r="B180" s="154" t="s">
        <v>335</v>
      </c>
      <c r="C180" s="239" t="s">
        <v>71</v>
      </c>
      <c r="D180" s="216">
        <f>SUM(D181:D183)</f>
        <v>170000</v>
      </c>
      <c r="E180" s="216"/>
      <c r="F180" s="217">
        <f t="shared" si="1"/>
        <v>170000</v>
      </c>
      <c r="G180" s="107"/>
    </row>
    <row r="181" spans="1:8" s="274" customFormat="1" ht="12.75">
      <c r="A181" s="208"/>
      <c r="B181" s="275" t="s">
        <v>314</v>
      </c>
      <c r="C181" s="276"/>
      <c r="D181" s="277">
        <v>125000</v>
      </c>
      <c r="E181" s="277"/>
      <c r="F181" s="278">
        <f t="shared" si="1"/>
        <v>125000</v>
      </c>
      <c r="G181" s="209"/>
      <c r="H181" s="273"/>
    </row>
    <row r="182" spans="1:8" s="274" customFormat="1" ht="12.75">
      <c r="A182" s="208"/>
      <c r="B182" s="275" t="s">
        <v>337</v>
      </c>
      <c r="C182" s="276"/>
      <c r="D182" s="277">
        <v>35000</v>
      </c>
      <c r="E182" s="277"/>
      <c r="F182" s="278">
        <f t="shared" si="1"/>
        <v>35000</v>
      </c>
      <c r="G182" s="209"/>
      <c r="H182" s="273"/>
    </row>
    <row r="183" spans="1:8" s="274" customFormat="1" ht="12.75">
      <c r="A183" s="271"/>
      <c r="B183" s="279" t="s">
        <v>336</v>
      </c>
      <c r="C183" s="280"/>
      <c r="D183" s="281">
        <v>10000</v>
      </c>
      <c r="E183" s="281"/>
      <c r="F183" s="282">
        <f t="shared" si="1"/>
        <v>10000</v>
      </c>
      <c r="G183" s="272"/>
      <c r="H183" s="273"/>
    </row>
    <row r="184" spans="1:8" s="141" customFormat="1" ht="24" customHeight="1">
      <c r="A184" s="128"/>
      <c r="B184" s="152" t="s">
        <v>401</v>
      </c>
      <c r="C184" s="227"/>
      <c r="D184" s="153">
        <f>SUM(D185,D186,D187,D188)</f>
        <v>162500</v>
      </c>
      <c r="E184" s="153">
        <f>SUM(E186,E188)</f>
        <v>0</v>
      </c>
      <c r="F184" s="140">
        <f t="shared" si="1"/>
        <v>162500</v>
      </c>
      <c r="G184" s="129"/>
      <c r="H184" s="180"/>
    </row>
    <row r="185" spans="1:8" s="130" customFormat="1" ht="33" customHeight="1">
      <c r="A185" s="135"/>
      <c r="B185" s="145" t="s">
        <v>402</v>
      </c>
      <c r="C185" s="238" t="s">
        <v>71</v>
      </c>
      <c r="D185" s="297">
        <v>39000</v>
      </c>
      <c r="E185" s="297">
        <v>0</v>
      </c>
      <c r="F185" s="298">
        <f t="shared" ref="F185" si="15">SUM(D185:E185)</f>
        <v>39000</v>
      </c>
      <c r="G185" s="136"/>
      <c r="H185" s="168"/>
    </row>
    <row r="186" spans="1:8" s="130" customFormat="1" ht="31.5" customHeight="1">
      <c r="A186" s="135"/>
      <c r="B186" s="299" t="s">
        <v>403</v>
      </c>
      <c r="C186" s="240" t="s">
        <v>71</v>
      </c>
      <c r="D186" s="300">
        <v>3500</v>
      </c>
      <c r="E186" s="300">
        <v>0</v>
      </c>
      <c r="F186" s="301">
        <f t="shared" si="1"/>
        <v>3500</v>
      </c>
      <c r="G186" s="136"/>
      <c r="H186" s="168"/>
    </row>
    <row r="187" spans="1:8" s="130" customFormat="1" ht="30">
      <c r="A187" s="135"/>
      <c r="B187" s="302" t="s">
        <v>404</v>
      </c>
      <c r="C187" s="240" t="s">
        <v>71</v>
      </c>
      <c r="D187" s="300">
        <v>30000</v>
      </c>
      <c r="E187" s="300">
        <v>0</v>
      </c>
      <c r="F187" s="301">
        <f t="shared" si="1"/>
        <v>30000</v>
      </c>
      <c r="G187" s="136"/>
      <c r="H187" s="168"/>
    </row>
    <row r="188" spans="1:8" ht="17.25" customHeight="1">
      <c r="A188" s="106"/>
      <c r="B188" s="305" t="s">
        <v>405</v>
      </c>
      <c r="C188" s="230"/>
      <c r="D188" s="157">
        <f>SUM(D189:D190)</f>
        <v>90000</v>
      </c>
      <c r="E188" s="157">
        <f>SUM(E190)</f>
        <v>0</v>
      </c>
      <c r="F188" s="158">
        <f t="shared" si="1"/>
        <v>90000</v>
      </c>
      <c r="G188" s="107"/>
    </row>
    <row r="189" spans="1:8" ht="17.25" customHeight="1">
      <c r="A189" s="106"/>
      <c r="B189" s="304" t="s">
        <v>251</v>
      </c>
      <c r="C189" s="287" t="s">
        <v>71</v>
      </c>
      <c r="D189" s="15">
        <v>10000</v>
      </c>
      <c r="E189" s="15"/>
      <c r="F189" s="127">
        <f t="shared" si="1"/>
        <v>10000</v>
      </c>
      <c r="G189" s="107"/>
    </row>
    <row r="190" spans="1:8" s="130" customFormat="1" ht="17.25" customHeight="1">
      <c r="A190" s="131"/>
      <c r="B190" s="142" t="s">
        <v>339</v>
      </c>
      <c r="C190" s="226" t="s">
        <v>73</v>
      </c>
      <c r="D190" s="143">
        <v>80000</v>
      </c>
      <c r="E190" s="143"/>
      <c r="F190" s="144">
        <f t="shared" si="1"/>
        <v>80000</v>
      </c>
      <c r="G190" s="303"/>
      <c r="H190" s="168"/>
    </row>
    <row r="191" spans="1:8">
      <c r="B191" s="4"/>
      <c r="C191" s="244"/>
      <c r="D191" s="4"/>
    </row>
    <row r="192" spans="1:8" ht="31.5" customHeight="1">
      <c r="B192" s="370"/>
      <c r="C192" s="370"/>
      <c r="D192" s="369"/>
      <c r="E192" s="369"/>
      <c r="F192" s="369"/>
    </row>
  </sheetData>
  <mergeCells count="7">
    <mergeCell ref="B192:F192"/>
    <mergeCell ref="B1:F1"/>
    <mergeCell ref="B9:F9"/>
    <mergeCell ref="D3:E3"/>
    <mergeCell ref="F3:F4"/>
    <mergeCell ref="B3:B4"/>
    <mergeCell ref="C3:C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firstPageNumber="5" orientation="portrait" useFirstPageNumber="1" r:id="rId1"/>
  <headerFooter alignWithMargins="0">
    <oddHeader>&amp;RLisa 4
Tartu linnavolikogu .....12.2015.a 
määruse nr .....  juurde</oddHeader>
    <oddFooter xml:space="preserve"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>
      <selection activeCell="I28" sqref="I28"/>
    </sheetView>
  </sheetViews>
  <sheetFormatPr defaultRowHeight="15"/>
  <cols>
    <col min="1" max="1" width="0.85546875" style="310" customWidth="1"/>
    <col min="2" max="2" width="27.7109375" style="310" customWidth="1"/>
    <col min="3" max="6" width="14.5703125" style="310" customWidth="1"/>
    <col min="7" max="7" width="0.85546875" style="311" customWidth="1"/>
    <col min="8" max="16384" width="9.140625" style="310"/>
  </cols>
  <sheetData>
    <row r="1" spans="1:8" ht="21.75" customHeight="1">
      <c r="B1" s="380" t="s">
        <v>407</v>
      </c>
      <c r="C1" s="381"/>
      <c r="D1" s="381"/>
      <c r="E1" s="381"/>
      <c r="F1" s="382"/>
    </row>
    <row r="2" spans="1:8" ht="9.75" customHeight="1">
      <c r="B2" s="312"/>
      <c r="C2" s="312"/>
      <c r="D2" s="312"/>
      <c r="E2" s="312"/>
      <c r="F2" s="313"/>
    </row>
    <row r="3" spans="1:8" s="314" customFormat="1" ht="15" customHeight="1">
      <c r="E3" s="315"/>
      <c r="F3" s="316" t="s">
        <v>26</v>
      </c>
      <c r="G3" s="317"/>
    </row>
    <row r="4" spans="1:8" s="314" customFormat="1" ht="21" customHeight="1">
      <c r="A4" s="383" t="s">
        <v>408</v>
      </c>
      <c r="B4" s="384"/>
      <c r="C4" s="387" t="s">
        <v>409</v>
      </c>
      <c r="D4" s="388"/>
      <c r="E4" s="388"/>
      <c r="F4" s="388"/>
      <c r="G4" s="389"/>
    </row>
    <row r="5" spans="1:8" ht="80.25" customHeight="1">
      <c r="A5" s="385"/>
      <c r="B5" s="386"/>
      <c r="C5" s="318" t="s">
        <v>410</v>
      </c>
      <c r="D5" s="319" t="s">
        <v>411</v>
      </c>
      <c r="E5" s="318" t="s">
        <v>412</v>
      </c>
      <c r="F5" s="319" t="s">
        <v>413</v>
      </c>
      <c r="G5" s="320"/>
    </row>
    <row r="6" spans="1:8" s="314" customFormat="1" ht="22.5" customHeight="1">
      <c r="A6" s="321"/>
      <c r="B6" s="322" t="s">
        <v>242</v>
      </c>
      <c r="C6" s="323">
        <v>10126000</v>
      </c>
      <c r="D6" s="324">
        <v>10126000</v>
      </c>
      <c r="E6" s="325">
        <v>0</v>
      </c>
      <c r="F6" s="326">
        <f t="shared" ref="F6:F14" si="0">D6-E6</f>
        <v>10126000</v>
      </c>
      <c r="G6" s="327"/>
    </row>
    <row r="7" spans="1:8" s="314" customFormat="1" ht="17.25" customHeight="1">
      <c r="A7" s="328"/>
      <c r="B7" s="329" t="s">
        <v>414</v>
      </c>
      <c r="C7" s="330">
        <v>10885000</v>
      </c>
      <c r="D7" s="331">
        <v>10885000</v>
      </c>
      <c r="E7" s="332">
        <v>1088500</v>
      </c>
      <c r="F7" s="331">
        <f t="shared" si="0"/>
        <v>9796500</v>
      </c>
      <c r="G7" s="333"/>
    </row>
    <row r="8" spans="1:8" s="314" customFormat="1" ht="17.25" customHeight="1">
      <c r="A8" s="328"/>
      <c r="B8" s="329" t="s">
        <v>243</v>
      </c>
      <c r="C8" s="334">
        <v>9977548</v>
      </c>
      <c r="D8" s="331">
        <v>7982038</v>
      </c>
      <c r="E8" s="335">
        <v>997755</v>
      </c>
      <c r="F8" s="331">
        <f t="shared" si="0"/>
        <v>6984283</v>
      </c>
      <c r="G8" s="336"/>
    </row>
    <row r="9" spans="1:8" s="314" customFormat="1" ht="17.25" customHeight="1">
      <c r="A9" s="328"/>
      <c r="B9" s="329" t="s">
        <v>243</v>
      </c>
      <c r="C9" s="334">
        <v>9800000</v>
      </c>
      <c r="D9" s="331">
        <f>8820000-980000</f>
        <v>7840000</v>
      </c>
      <c r="E9" s="335">
        <v>980000</v>
      </c>
      <c r="F9" s="331">
        <f t="shared" si="0"/>
        <v>6860000</v>
      </c>
      <c r="G9" s="336"/>
    </row>
    <row r="10" spans="1:8" s="314" customFormat="1" ht="17.25" customHeight="1">
      <c r="A10" s="328"/>
      <c r="B10" s="329" t="s">
        <v>244</v>
      </c>
      <c r="C10" s="337">
        <v>11320800</v>
      </c>
      <c r="D10" s="331">
        <f>7924560-1132080</f>
        <v>6792480</v>
      </c>
      <c r="E10" s="335">
        <v>1132080</v>
      </c>
      <c r="F10" s="331">
        <f t="shared" si="0"/>
        <v>5660400</v>
      </c>
      <c r="G10" s="336"/>
    </row>
    <row r="11" spans="1:8" s="314" customFormat="1" ht="17.25" customHeight="1">
      <c r="A11" s="328"/>
      <c r="B11" s="338" t="s">
        <v>245</v>
      </c>
      <c r="C11" s="330">
        <v>7398846</v>
      </c>
      <c r="D11" s="339">
        <f>4439308-2*739885</f>
        <v>2959538</v>
      </c>
      <c r="E11" s="332">
        <v>1479769</v>
      </c>
      <c r="F11" s="339">
        <f t="shared" si="0"/>
        <v>1479769</v>
      </c>
      <c r="G11" s="333"/>
    </row>
    <row r="12" spans="1:8" s="314" customFormat="1" ht="17.25" customHeight="1">
      <c r="A12" s="328"/>
      <c r="B12" s="340" t="s">
        <v>246</v>
      </c>
      <c r="C12" s="334">
        <v>9586747</v>
      </c>
      <c r="D12" s="331">
        <f>2876024-958674</f>
        <v>1917350</v>
      </c>
      <c r="E12" s="335">
        <v>958675</v>
      </c>
      <c r="F12" s="331">
        <f t="shared" si="0"/>
        <v>958675</v>
      </c>
      <c r="G12" s="336"/>
    </row>
    <row r="13" spans="1:8" s="314" customFormat="1" ht="27" customHeight="1">
      <c r="A13" s="328"/>
      <c r="B13" s="341" t="s">
        <v>415</v>
      </c>
      <c r="C13" s="334">
        <v>8274194</v>
      </c>
      <c r="D13" s="331">
        <f>1654839-827420</f>
        <v>827419</v>
      </c>
      <c r="E13" s="335">
        <v>827419</v>
      </c>
      <c r="F13" s="331">
        <f t="shared" si="0"/>
        <v>0</v>
      </c>
      <c r="G13" s="336"/>
    </row>
    <row r="14" spans="1:8" s="314" customFormat="1" ht="27" customHeight="1">
      <c r="A14" s="328"/>
      <c r="B14" s="341" t="s">
        <v>416</v>
      </c>
      <c r="C14" s="334">
        <v>5229315</v>
      </c>
      <c r="D14" s="331">
        <f>1568795-522932</f>
        <v>1045863</v>
      </c>
      <c r="E14" s="335">
        <v>522932</v>
      </c>
      <c r="F14" s="331">
        <f t="shared" si="0"/>
        <v>522931</v>
      </c>
      <c r="G14" s="336"/>
      <c r="H14" s="342"/>
    </row>
    <row r="15" spans="1:8" s="314" customFormat="1" ht="17.25" customHeight="1">
      <c r="A15" s="328"/>
      <c r="B15" s="338" t="s">
        <v>417</v>
      </c>
      <c r="C15" s="330">
        <v>0</v>
      </c>
      <c r="D15" s="331">
        <v>0</v>
      </c>
      <c r="E15" s="332">
        <v>0</v>
      </c>
      <c r="F15" s="339">
        <v>11687130</v>
      </c>
      <c r="G15" s="343"/>
    </row>
    <row r="16" spans="1:8" s="314" customFormat="1" ht="17.25" customHeight="1">
      <c r="A16" s="328"/>
      <c r="B16" s="344" t="s">
        <v>56</v>
      </c>
      <c r="C16" s="330">
        <v>6538481</v>
      </c>
      <c r="D16" s="339">
        <f>5051387-315386</f>
        <v>4736001</v>
      </c>
      <c r="E16" s="332">
        <v>322856</v>
      </c>
      <c r="F16" s="339">
        <f>D16-E16</f>
        <v>4413145</v>
      </c>
      <c r="G16" s="345"/>
    </row>
    <row r="17" spans="1:7" s="314" customFormat="1" ht="17.25" customHeight="1">
      <c r="A17" s="346"/>
      <c r="B17" s="347" t="s">
        <v>57</v>
      </c>
      <c r="C17" s="348">
        <f>4859+63600</f>
        <v>68459</v>
      </c>
      <c r="D17" s="349">
        <f>29502-13201</f>
        <v>16301</v>
      </c>
      <c r="E17" s="350">
        <f>10818+3396</f>
        <v>14214</v>
      </c>
      <c r="F17" s="349">
        <f>D17-E17+9205</f>
        <v>11292</v>
      </c>
      <c r="G17" s="351"/>
    </row>
    <row r="18" spans="1:7" s="314" customFormat="1" ht="22.5" customHeight="1">
      <c r="A18" s="352"/>
      <c r="B18" s="353" t="s">
        <v>17</v>
      </c>
      <c r="C18" s="354" t="s">
        <v>247</v>
      </c>
      <c r="D18" s="355">
        <f>SUM(D6:D17)</f>
        <v>55127990</v>
      </c>
      <c r="E18" s="356">
        <f>SUM(E6:E17)</f>
        <v>8324200</v>
      </c>
      <c r="F18" s="355">
        <f>SUM(F6:F17)</f>
        <v>58500125</v>
      </c>
      <c r="G18" s="357"/>
    </row>
    <row r="19" spans="1:7" s="314" customFormat="1" ht="19.5" customHeight="1">
      <c r="A19" s="358"/>
      <c r="B19" s="314" t="s">
        <v>248</v>
      </c>
      <c r="C19" s="359">
        <f>SUM(C6:C15)</f>
        <v>82598450</v>
      </c>
      <c r="D19" s="360">
        <f>SUM(D6:D15)</f>
        <v>50375688</v>
      </c>
      <c r="E19" s="359">
        <f>SUM(E6:E15)</f>
        <v>7987130</v>
      </c>
      <c r="F19" s="360">
        <f>SUM(F6:F15)</f>
        <v>54075688</v>
      </c>
      <c r="G19" s="361"/>
    </row>
    <row r="20" spans="1:7" s="314" customFormat="1" ht="15.75" customHeight="1">
      <c r="A20" s="362"/>
      <c r="B20" s="363" t="s">
        <v>249</v>
      </c>
      <c r="C20" s="364">
        <f>SUM(C16:C17)</f>
        <v>6606940</v>
      </c>
      <c r="D20" s="365">
        <f>SUM(D16:D17)</f>
        <v>4752302</v>
      </c>
      <c r="E20" s="364">
        <f>SUM(E16:E17)</f>
        <v>337070</v>
      </c>
      <c r="F20" s="365">
        <f>SUM(F16:F17)</f>
        <v>4424437</v>
      </c>
      <c r="G20" s="366"/>
    </row>
  </sheetData>
  <mergeCells count="3">
    <mergeCell ref="B1:F1"/>
    <mergeCell ref="A4:B5"/>
    <mergeCell ref="C4:G4"/>
  </mergeCells>
  <pageMargins left="0.70866141732283472" right="0.70866141732283472" top="0.74803149606299213" bottom="0.74803149606299213" header="0.31496062992125984" footer="0.31496062992125984"/>
  <pageSetup paperSize="9" firstPageNumber="10" orientation="portrait" useFirstPageNumber="1" r:id="rId1"/>
  <headerFooter alignWithMargins="0">
    <oddHeader>&amp;RLisa 5
Tartu Linnavolikogu .....12.2015. a 
määruse nr .... juurde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lisa 1(koond)</vt:lpstr>
      <vt:lpstr>lisa 2 (Tulubaas)</vt:lpstr>
      <vt:lpstr>lisa3 (põhitegevus)</vt:lpstr>
      <vt:lpstr>Lisa 4 (invest)</vt:lpstr>
      <vt:lpstr>Lisa 5 Fin.teg KULUD</vt:lpstr>
      <vt:lpstr>'Lisa 4 (invest)'!Print_Titles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Tiina</cp:lastModifiedBy>
  <cp:lastPrinted>2015-11-17T08:40:11Z</cp:lastPrinted>
  <dcterms:created xsi:type="dcterms:W3CDTF">1996-10-14T23:33:28Z</dcterms:created>
  <dcterms:modified xsi:type="dcterms:W3CDTF">2015-11-17T08:42:25Z</dcterms:modified>
</cp:coreProperties>
</file>